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80" windowHeight="5775" firstSheet="1" activeTab="1"/>
  </bookViews>
  <sheets>
    <sheet name="Printti" sheetId="1" state="hidden" r:id="rId1"/>
    <sheet name="Tulos" sheetId="2" r:id="rId2"/>
    <sheet name="Laskenta" sheetId="3" state="hidden" r:id="rId3"/>
    <sheet name="Kertoimet_materiaali" sheetId="4" state="hidden" r:id="rId4"/>
    <sheet name="Rakennekertoimet" sheetId="5" state="hidden" r:id="rId5"/>
    <sheet name="Toteutus_kaytto_huolto" sheetId="6" state="hidden" r:id="rId6"/>
    <sheet name="PrinttiJS" sheetId="7" state="hidden" r:id="rId7"/>
  </sheets>
  <definedNames>
    <definedName name="Alusta">'Laskenta'!$B$86</definedName>
    <definedName name="B1aJS">'Laskenta'!$J$45</definedName>
    <definedName name="B1aKate">'Laskenta'!$J$72</definedName>
    <definedName name="B1aKKJS">'Laskenta'!$J$101</definedName>
    <definedName name="B1bJS">'Laskenta'!$J$47</definedName>
    <definedName name="B1bKate">'Laskenta'!$J$74</definedName>
    <definedName name="B1bKKJS">'Laskenta'!$J$102</definedName>
    <definedName name="B1cJS">'Laskenta'!$J$50</definedName>
    <definedName name="B1cKate">'Laskenta'!$J$77</definedName>
    <definedName name="B1cKKJS">'Laskenta'!$J$103</definedName>
    <definedName name="B1dKate">'Laskenta'!$J$79</definedName>
    <definedName name="B1eKate">'Laskenta'!$J$81</definedName>
    <definedName name="B2aJS">'Laskenta'!$J$54</definedName>
    <definedName name="B2aKKJS">'Laskenta'!$J$106</definedName>
    <definedName name="B2bJS">'Laskenta'!$J$56</definedName>
    <definedName name="B2bKKJS">'Laskenta'!$J$107</definedName>
    <definedName name="B3aKKJS">'Laskenta'!$J$110</definedName>
    <definedName name="B3bKKJS">'Laskenta'!$J$111</definedName>
    <definedName name="Detaljit">'Laskenta'!$B$88</definedName>
    <definedName name="ESLC">'Laskenta'!$J$183</definedName>
    <definedName name="HuollonTasoJS">'Laskenta'!$B$168</definedName>
    <definedName name="HuollonTasoMaali">'Laskenta'!$B$171</definedName>
    <definedName name="IlmavaliHuoltoKKJS">'Laskenta'!$B$111</definedName>
    <definedName name="IlmavaliLaatuKKJS">'Laskenta'!$B$113</definedName>
    <definedName name="IlmavaliSyvKKJS">'Laskenta'!$B$110</definedName>
    <definedName name="JatteidenPuhdistus">'Laskenta'!$B$137</definedName>
    <definedName name="Julkisivun_suojauksen_taso">'Laskenta'!$B$152</definedName>
    <definedName name="KallistetPintaKKJS">'Laskenta'!$B$107</definedName>
    <definedName name="KatonKaltevuus">'Laskenta'!$B$79</definedName>
    <definedName name="KatteenKiinnitystapa">'Laskenta'!$B$90</definedName>
    <definedName name="KayttoKKJS">'Laskenta'!$B$159</definedName>
    <definedName name="KayttoRunko">'Laskenta'!$B$162</definedName>
    <definedName name="KerroinA">'Laskenta'!$J$39</definedName>
    <definedName name="KerroinA1">'Laskenta'!$J$22</definedName>
    <definedName name="KerroinA1R">'Laskenta'!$J$34</definedName>
    <definedName name="KerroinA2">'Laskenta'!$J$24</definedName>
    <definedName name="KerroinA2R">'Laskenta'!$J$36</definedName>
    <definedName name="KerroinB">'Laskenta'!$J$128</definedName>
    <definedName name="KerroinB1">'Laskenta'!$J$52</definedName>
    <definedName name="KerroinB1Kate">'Laskenta'!$J$84</definedName>
    <definedName name="KerroinB1KKJS">'Laskenta'!$J$104</definedName>
    <definedName name="KerroinB1Runko">'Laskenta'!$J$123</definedName>
    <definedName name="KerroinB2">'Laskenta'!$J$58</definedName>
    <definedName name="KerroinB2Kate">'Laskenta'!$J$86</definedName>
    <definedName name="KerroinB2KKJS">'Laskenta'!$J$108</definedName>
    <definedName name="KerroinB2Runko">'Laskenta'!$J$125</definedName>
    <definedName name="KerroinB3">'Laskenta'!$J$60</definedName>
    <definedName name="KerroinB3KKJS">'Laskenta'!$J$112</definedName>
    <definedName name="KerroinB4Kate">'Laskenta'!$J$88</definedName>
    <definedName name="KerroinB4KKJS">'Laskenta'!$J$113</definedName>
    <definedName name="KerroinB5Kate">'Laskenta'!$J$90</definedName>
    <definedName name="KerroinB5KKJS">'Laskenta'!$J$115</definedName>
    <definedName name="KerroinB6Kate">'Laskenta'!$J$92</definedName>
    <definedName name="KerroinBJS">'Laskenta'!$J$67</definedName>
    <definedName name="KerroinBKate">'Laskenta'!$J$96</definedName>
    <definedName name="KerroinBKKJS">'Laskenta'!$J$117</definedName>
    <definedName name="KerroinBRunko">'Laskenta'!$J$126</definedName>
    <definedName name="KerroinC">'Laskenta'!$J$139</definedName>
    <definedName name="KerroinC1">'Laskenta'!$J$131</definedName>
    <definedName name="KerroinC2">'Laskenta'!$J$133</definedName>
    <definedName name="kerroinC3">'Laskenta'!$J$134</definedName>
    <definedName name="KerroinC4">'Laskenta'!$J$136</definedName>
    <definedName name="KerroinC5">'Laskenta'!$J$137</definedName>
    <definedName name="KerroinD">'Laskenta'!$J$164</definedName>
    <definedName name="KerroinD1">'Laskenta'!$J$148</definedName>
    <definedName name="KerroinD1a">'Laskenta'!$J$150</definedName>
    <definedName name="KerroinD1Kate">'Laskenta'!$J$142</definedName>
    <definedName name="KerroinD2">'Laskenta'!$J$152</definedName>
    <definedName name="KerroinD2Kate">'Laskenta'!$J$144</definedName>
    <definedName name="KerroinD3">'Laskenta'!$J$155</definedName>
    <definedName name="KerroinDJS">'Laskenta'!$J$156</definedName>
    <definedName name="KerroinDKate">'Laskenta'!$J$146</definedName>
    <definedName name="KerroinDKKJS">'Laskenta'!$J$159</definedName>
    <definedName name="KerroinDRunko">'Laskenta'!$J$162</definedName>
    <definedName name="KerroinG">'Laskenta'!$J$181</definedName>
    <definedName name="KerroinG1">'Laskenta'!$J$168</definedName>
    <definedName name="KerroinG2">'Laskenta'!$J$179</definedName>
    <definedName name="Kiinnikeulkoilma">'Laskenta'!$B$62</definedName>
    <definedName name="Kiinnikkeet">'Laskenta'!$B$60</definedName>
    <definedName name="Korroosio_olosuhteet">'Laskenta'!$B$27</definedName>
    <definedName name="Kosketus_ulkoilmaan">'Laskenta'!$B$62</definedName>
    <definedName name="KuljetusVarastointiJS">'Laskenta'!$B$131</definedName>
    <definedName name="Kuristuskapple">'Laskenta'!$B$77</definedName>
    <definedName name="KuristuskappleJS">'Laskenta'!$B$50</definedName>
    <definedName name="KylmasiltRUNKO">'Laskenta'!$B$123</definedName>
    <definedName name="LampoLiikKKJS">'Laskenta'!$B$115</definedName>
    <definedName name="LasinSateiKKJS">'Laskenta'!$B$103</definedName>
    <definedName name="LeikkausmenetelmaJS">'Laskenta'!$B$134</definedName>
    <definedName name="LeikkausreunojenSuojausJS">'Laskenta'!$B$136</definedName>
    <definedName name="Liikenne">'Laskenta'!$B$144</definedName>
    <definedName name="Liikenteen_rasitukset">'Laskenta'!$B$150</definedName>
    <definedName name="MaalipinnanHuolto">'Laskenta'!$B$171</definedName>
    <definedName name="Maalityyppi">'Laskenta'!$B$172</definedName>
    <definedName name="Materiaali">'Laskenta'!$B$16</definedName>
    <definedName name="MuutRakennetekijat">'Laskenta'!$B$92</definedName>
    <definedName name="OnkoRuostumaton">'Laskenta'!$G$16</definedName>
    <definedName name="OnkoTuuletettu">'Laskenta'!$B$154</definedName>
    <definedName name="Pinnan_laatu">'Laskenta'!$B$36</definedName>
    <definedName name="PinnoiteVari">'Laskenta'!$B$24</definedName>
    <definedName name="Printti">'Printti'!$A$1:$M$24,'Printti'!$N$25:$W$54</definedName>
    <definedName name="PrinttiJS">'PrinttiJS'!$A$1:$M$24,'PrinttiJS'!$N$25:$W$54</definedName>
    <definedName name="Rakenne">'Tulos'!$AH$1</definedName>
    <definedName name="Rasitusluokka">'Laskenta'!$B$11</definedName>
    <definedName name="RSLC">'Laskenta'!$J$8</definedName>
    <definedName name="Runko">'Laskenta'!$B$37</definedName>
    <definedName name="Ruostumaton">'Laskenta'!$B$28</definedName>
    <definedName name="Sadevesi">'Laskenta'!$B$54</definedName>
    <definedName name="SadevesiKKJS">'Laskenta'!$B$106</definedName>
    <definedName name="Sisailma">'Laskenta'!$B$155</definedName>
    <definedName name="SisailmaKate">'Laskenta'!$B$142</definedName>
    <definedName name="Tiensuolaus">'Laskenta'!$B$148</definedName>
    <definedName name="TulosPrintti">'Tulos'!$B$2:$P$26</definedName>
    <definedName name="_xlnm.Print_Area" localSheetId="3">'Kertoimet_materiaali'!$B$3:$H$16</definedName>
    <definedName name="_xlnm.Print_Area" localSheetId="2">'Laskenta'!$A$1:$J$175</definedName>
    <definedName name="_xlnm.Print_Area" localSheetId="0">'Printti'!$A$1:$M$24,'Printti'!$N$25:$W$54</definedName>
    <definedName name="_xlnm.Print_Area" localSheetId="6">'PrinttiJS'!$A$1:$M$24,'PrinttiJS'!$N$25:$W$54</definedName>
    <definedName name="_xlnm.Print_Area" localSheetId="4">'Rakennekertoimet'!$A$4:$G$121</definedName>
    <definedName name="_xlnm.Print_Area" localSheetId="1">'Tulos'!$B$2:$P$26</definedName>
    <definedName name="Tuulenpaine">'Laskenta'!$B$81</definedName>
    <definedName name="Tuuletus_kuristus">'Laskenta'!$B$76</definedName>
    <definedName name="Tuuletus_kuristusJS">'Laskenta'!$B$49</definedName>
    <definedName name="Tuuletusvali">'Laskenta'!$B$72</definedName>
    <definedName name="Tuuletusvali_yht">'Laskenta'!$B$74</definedName>
    <definedName name="Tuuletusvali_yhtJS">'Laskenta'!$B$47</definedName>
    <definedName name="TuuletusvaliJS">'Laskenta'!$B$45</definedName>
    <definedName name="TuulJakKKJS">'Laskenta'!$B$102</definedName>
    <definedName name="TuulTotKKJS">'Laskenta'!$B$101</definedName>
    <definedName name="UlkoRUNKO">'Laskenta'!$B$125</definedName>
    <definedName name="VarastointiLampoKosteus">'Laskenta'!$B$133</definedName>
    <definedName name="Varmuustaso">'Laskenta'!$B$7</definedName>
    <definedName name="Vedenjohtaminen">'Laskenta'!$B$56</definedName>
    <definedName name="VertailuKayttoika">'Laskenta'!$B$8</definedName>
  </definedNames>
  <calcPr fullCalcOnLoad="1"/>
</workbook>
</file>

<file path=xl/comments4.xml><?xml version="1.0" encoding="utf-8"?>
<comments xmlns="http://schemas.openxmlformats.org/spreadsheetml/2006/main">
  <authors>
    <author>rtesve</author>
  </authors>
  <commentList>
    <comment ref="H3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Massiiviset teräsrakenteet -palkki- ja putkirakenteet</t>
        </r>
      </text>
    </comment>
    <comment ref="U3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Massiiviset teräsrakenteet -palkki- ja putkirakenteet</t>
        </r>
      </text>
    </comment>
    <comment ref="H77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Massiiviset teräsrakenteet -palkki- ja putkirakenteet</t>
        </r>
      </text>
    </comment>
    <comment ref="H82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79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0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1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4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5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6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7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89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0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1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2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6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7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8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99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1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2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3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4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6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7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8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09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3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4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5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6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8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19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0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1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3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4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5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H126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tuote kts. oikealta</t>
        </r>
      </text>
    </comment>
    <comment ref="U11" authorId="0">
      <text>
        <r>
          <rPr>
            <b/>
            <sz val="12"/>
            <rFont val="Times New Roman"/>
            <family val="1"/>
          </rPr>
          <t>rtesve:</t>
        </r>
        <r>
          <rPr>
            <sz val="10"/>
            <rFont val="Times New Roman"/>
            <family val="1"/>
          </rPr>
          <t xml:space="preserve">
C3 =&gt; epoksi pohja 40 µm + 80 µm epoksi primer + 40 µm uretaanimaali, 
C4 = epoksi pohja 40 µm + 2 x 80 µm epoksi primer + 40 µm uretaanimaali (durability more than 15 year)</t>
        </r>
      </text>
    </comment>
  </commentList>
</comments>
</file>

<file path=xl/comments5.xml><?xml version="1.0" encoding="utf-8"?>
<comments xmlns="http://schemas.openxmlformats.org/spreadsheetml/2006/main">
  <authors>
    <author>RTESVE</author>
    <author>rtesve</author>
  </authors>
  <commentList>
    <comment ref="B54" authorId="0">
      <text>
        <r>
          <rPr>
            <b/>
            <sz val="8"/>
            <rFont val="Tahoma"/>
            <family val="0"/>
          </rPr>
          <t>RTESVE:</t>
        </r>
        <r>
          <rPr>
            <sz val="8"/>
            <rFont val="Tahoma"/>
            <family val="0"/>
          </rPr>
          <t xml:space="preserve">
Kiinnikkeiden kertoimet mallinnetaan kun julkisivu ratkaisujen kertoimet/riippuvuudet on päätetty</t>
        </r>
      </text>
    </comment>
    <comment ref="E36" authorId="1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merkittävästi huonontunut kestävyys</t>
        </r>
      </text>
    </comment>
  </commentList>
</comments>
</file>

<file path=xl/comments6.xml><?xml version="1.0" encoding="utf-8"?>
<comments xmlns="http://schemas.openxmlformats.org/spreadsheetml/2006/main">
  <authors>
    <author>rtesve</author>
  </authors>
  <commentList>
    <comment ref="T80" authorId="0">
      <text>
        <r>
          <rPr>
            <b/>
            <sz val="10"/>
            <rFont val="Tahoma"/>
            <family val="0"/>
          </rPr>
          <t>rtesve:</t>
        </r>
        <r>
          <rPr>
            <sz val="10"/>
            <rFont val="Tahoma"/>
            <family val="0"/>
          </rPr>
          <t xml:space="preserve">
Käyttöikä samaa uusintamaalauksessa kuin tehdasmaalattu tuote, olosuhteessa C2</t>
        </r>
      </text>
    </comment>
  </commentList>
</comments>
</file>

<file path=xl/sharedStrings.xml><?xml version="1.0" encoding="utf-8"?>
<sst xmlns="http://schemas.openxmlformats.org/spreadsheetml/2006/main" count="1568" uniqueCount="570">
  <si>
    <t>vuotta</t>
  </si>
  <si>
    <t>Ennakoitu käyttöikä</t>
  </si>
  <si>
    <t>TEE VALINNAT KELTAISISSA RUUDUISSA</t>
  </si>
  <si>
    <t>Valinta</t>
  </si>
  <si>
    <t>Sallittu vaihteluväli, selitys</t>
  </si>
  <si>
    <t>Suositus</t>
  </si>
  <si>
    <t>Varmuustaso</t>
  </si>
  <si>
    <t>(1=95%, 2=90%, 3=80%, 4=50%, 5=keskiarvo)</t>
  </si>
  <si>
    <t>Vertailukäyttöikä</t>
  </si>
  <si>
    <t>Vertailuikä</t>
  </si>
  <si>
    <t>A. Materiaalit</t>
  </si>
  <si>
    <t>B</t>
  </si>
  <si>
    <t>C</t>
  </si>
  <si>
    <t>G</t>
  </si>
  <si>
    <t>Käyttöikä</t>
  </si>
  <si>
    <t>E</t>
  </si>
  <si>
    <t>RSLC</t>
  </si>
  <si>
    <t>A</t>
  </si>
  <si>
    <t>VTT Rakennus- ja yhdyskuntatekniikka</t>
  </si>
  <si>
    <t>Valitse varmuustaso</t>
  </si>
  <si>
    <t>Materiaalit</t>
  </si>
  <si>
    <t>Rakenneratkaisut</t>
  </si>
  <si>
    <t>Työn suoritus</t>
  </si>
  <si>
    <t>Ulkoiset rasitukset</t>
  </si>
  <si>
    <t>Huollon taso</t>
  </si>
  <si>
    <t>Laskennan lähtötiedot</t>
  </si>
  <si>
    <t>Käyttöikämitoitus</t>
  </si>
  <si>
    <t>Varmuustaso:</t>
  </si>
  <si>
    <t>Rakenne:</t>
  </si>
  <si>
    <t>Ohutlevykatteet</t>
  </si>
  <si>
    <t>Teräsrakenteiden käyttöikämitoitus</t>
  </si>
  <si>
    <t>Rasitusluokka</t>
  </si>
  <si>
    <t>Detaljien suunnittelu</t>
  </si>
  <si>
    <t>Katteen kiinnitystapa</t>
  </si>
  <si>
    <t>Katon alustan tuulettuvuus</t>
  </si>
  <si>
    <t>(1=Ohjeiden mukaan, 2=Ohjeita ei noudatettu)</t>
  </si>
  <si>
    <t>Kuljetus ja varastointi työmaalla</t>
  </si>
  <si>
    <t>Leikkausmenetelmät</t>
  </si>
  <si>
    <t>Liikenne</t>
  </si>
  <si>
    <t>C1</t>
  </si>
  <si>
    <t>C2</t>
  </si>
  <si>
    <t>C3</t>
  </si>
  <si>
    <t>D1</t>
  </si>
  <si>
    <t>ESLC</t>
  </si>
  <si>
    <t>Kerroin A</t>
  </si>
  <si>
    <t>Kerroin B</t>
  </si>
  <si>
    <t>Kerroin C</t>
  </si>
  <si>
    <t>Kerroin D</t>
  </si>
  <si>
    <t>Kerroin G</t>
  </si>
  <si>
    <t>Muovipinnoitteen väri</t>
  </si>
  <si>
    <t>Muovipinnoitteen materiaali</t>
  </si>
  <si>
    <t>Sinkkikerroksen paksuus</t>
  </si>
  <si>
    <t>µm</t>
  </si>
  <si>
    <t>Katteen kaltevuus</t>
  </si>
  <si>
    <t>Toteutus</t>
  </si>
  <si>
    <t>Leikkausreunojen suojaus työmaalla</t>
  </si>
  <si>
    <t>Käytöstä aiheutuvat rasitukset</t>
  </si>
  <si>
    <t>Tarkastus- ja huoltoväli</t>
  </si>
  <si>
    <t>Teräsjulkisivut</t>
  </si>
  <si>
    <t>Kiinnikkeet</t>
  </si>
  <si>
    <t>Kuljetus ja varastointi</t>
  </si>
  <si>
    <t>Varastointilämpötila ja -kosteus</t>
  </si>
  <si>
    <t>Leikkausmenetelmä</t>
  </si>
  <si>
    <t>Porausjätteiden yms. puhdistus</t>
  </si>
  <si>
    <t>Leikkausreunojen suojaus / käsittely</t>
  </si>
  <si>
    <t>C4</t>
  </si>
  <si>
    <t>C5</t>
  </si>
  <si>
    <t>Silmämääräiset tarkastukset ja rakenteiden kunnon</t>
  </si>
  <si>
    <t>(1=Säännöllisesti, 2=Epäsäännöllisesti, 3=Ei huoltoa)</t>
  </si>
  <si>
    <t>tarkastukset (tehtäväluettelo formilla)</t>
  </si>
  <si>
    <t>Teräsjulkisivu</t>
  </si>
  <si>
    <t>Tuuletusraon sisäänvirtausaukkojen pinta-ala tuuletusraon pinta-alasta</t>
  </si>
  <si>
    <t>Detaljirakenteiden suunnittelu (julkisivu-verhouksen taakse pääsevä sadevesi)</t>
  </si>
  <si>
    <t>Säteilyjäähtyminen/ kasetin taustan kosteus, tuuletusraon yhtenäisyys ja avoimuus</t>
  </si>
  <si>
    <t>Tarkastukset</t>
  </si>
  <si>
    <t>(1=Kuiva, lämmin (&gt;10 °C) ja tuuletettu tila, 2=Puutteellinen)</t>
  </si>
  <si>
    <t xml:space="preserve">VTT </t>
  </si>
  <si>
    <t>Valitse rakenne</t>
  </si>
  <si>
    <t>Julkisivut, sandwich elementti</t>
  </si>
  <si>
    <t>Kaksoiskuorijulkisivu</t>
  </si>
  <si>
    <t>Materiaali</t>
  </si>
  <si>
    <t>Tarkasteltava rakenne</t>
  </si>
  <si>
    <t>Julkisivu 
tuuletettu rakenne</t>
  </si>
  <si>
    <t>Julkisivu 
sandwich elementti</t>
  </si>
  <si>
    <t>Ohutlevy-katteet</t>
  </si>
  <si>
    <t>Runko-rakenteet</t>
  </si>
  <si>
    <t>KERTOIMET</t>
  </si>
  <si>
    <t>Kerroin A - Materiaali</t>
  </si>
  <si>
    <t>olosuhde C3</t>
  </si>
  <si>
    <t>Vertailukäyttöikä vuosina</t>
  </si>
  <si>
    <t>kerroin</t>
  </si>
  <si>
    <t>Julkisivut, tuuletettu teräsrakenne</t>
  </si>
  <si>
    <t>Kiinnikkeiden laatu</t>
  </si>
  <si>
    <t>(1=suojattu rakenne, 2=rajoituu ulkoilmaan)</t>
  </si>
  <si>
    <t>Pintavaihtoehdot</t>
  </si>
  <si>
    <t>CORTEN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</si>
  <si>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</si>
  <si>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</si>
  <si>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</si>
  <si>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</si>
  <si>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</si>
  <si>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</si>
  <si>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</si>
  <si>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</si>
  <si>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</si>
  <si>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</si>
  <si>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Pintamateriaalin käyttöikä</t>
  </si>
  <si>
    <t>olosuhde C2</t>
  </si>
  <si>
    <t>Maalipinnan huolto</t>
  </si>
  <si>
    <t>(1=julkisivut, tuuletettu rakenne, 2=julkisivut,sandwich elementti, 3=kaksoiskuorijulkisivut, 4=ohutlevykatteet, 5=runkorakenteet)</t>
  </si>
  <si>
    <t>Sinkitty teräs (sinkki 100 µm)</t>
  </si>
  <si>
    <t>Pinnan laatu</t>
  </si>
  <si>
    <t>Ruostumaton teräs EN 1.4301/1.4307</t>
  </si>
  <si>
    <t>Haponkestävä ruostumaton teräs EN 1.4401/1.4404</t>
  </si>
  <si>
    <t>Mn-seosteinen duplex ruostumaton teräs EN 1.4162</t>
  </si>
  <si>
    <t>Ruostumaton teräs</t>
  </si>
  <si>
    <t>2B</t>
  </si>
  <si>
    <t>Huolto</t>
  </si>
  <si>
    <t>mustaa</t>
  </si>
  <si>
    <t>harmaa</t>
  </si>
  <si>
    <t>valkoinen</t>
  </si>
  <si>
    <t>ruostumaton teräs</t>
  </si>
  <si>
    <t>haponkestävä teräs</t>
  </si>
  <si>
    <t>suojattu kiinnike</t>
  </si>
  <si>
    <t>rajoituu ulkoilmaan:</t>
  </si>
  <si>
    <t>Sännöllisesti</t>
  </si>
  <si>
    <t>Epäsäännöllisesti</t>
  </si>
  <si>
    <t>Ohjeiden mukainen</t>
  </si>
  <si>
    <t>Vähäisiä kolhuja</t>
  </si>
  <si>
    <t>Runsaasti kolhuja</t>
  </si>
  <si>
    <t>Selviä kolhuja</t>
  </si>
  <si>
    <t>Varastointilämpötila ja kosteus</t>
  </si>
  <si>
    <t>Kuivaa ja lämmin</t>
  </si>
  <si>
    <t>Puutteellinen</t>
  </si>
  <si>
    <t>Ohjeiden mukaiset menetelmät ja työkalut</t>
  </si>
  <si>
    <t>Väärät menetelmät ja työkalut</t>
  </si>
  <si>
    <t>Pintojen puhdistus porausjätteistä yms</t>
  </si>
  <si>
    <t>Huolellisesti suoritettu</t>
  </si>
  <si>
    <t>Puutteellisesti suoritettu</t>
  </si>
  <si>
    <t>Puutteellisesti suojattu ja käsitelty</t>
  </si>
  <si>
    <t>Tiensuolaus</t>
  </si>
  <si>
    <t>Kyllä</t>
  </si>
  <si>
    <t>ei</t>
  </si>
  <si>
    <t>Liikenteen rasitukset</t>
  </si>
  <si>
    <t>Vilkasliikenteinen katu</t>
  </si>
  <si>
    <t>Julkisivun suojauksen taso</t>
  </si>
  <si>
    <t>Liikkuminen rajoitettu</t>
  </si>
  <si>
    <t>Kevyen liikenteen aiheuttamat rasitukset / kolhut</t>
  </si>
  <si>
    <t>ajoneuvojen aiheuttamat vauriot</t>
  </si>
  <si>
    <t>Kerroin B - Julkisivurakenne</t>
  </si>
  <si>
    <t>Kerroin B - Katerakenne</t>
  </si>
  <si>
    <t>Ruostumaton</t>
  </si>
  <si>
    <t>muut</t>
  </si>
  <si>
    <t>Ohjeiden mukaan</t>
  </si>
  <si>
    <t>Ohjeita ei noudatettu</t>
  </si>
  <si>
    <t>Ei lävistävä</t>
  </si>
  <si>
    <t>Väärät kiinnikkeet tai määrä väärä</t>
  </si>
  <si>
    <t>Liikenne katolla</t>
  </si>
  <si>
    <t xml:space="preserve">Kävely- ja huoltotasot katolla </t>
  </si>
  <si>
    <t>Muut</t>
  </si>
  <si>
    <t>Korroosio olosuhteet</t>
  </si>
  <si>
    <t>alhainen</t>
  </si>
  <si>
    <t>keskimääräinen</t>
  </si>
  <si>
    <t>korkea</t>
  </si>
  <si>
    <t>ruostumaton</t>
  </si>
  <si>
    <t>Valssattu sinkkikate (sinkki 0,8 mm)</t>
  </si>
  <si>
    <t>Al-sinkkikate (55 % Al + 45 % sinkkiä)</t>
  </si>
  <si>
    <t>corten kiinnike</t>
  </si>
  <si>
    <t>Tuuletusvälin tai -kanavien virtauspoikkipinnan pinta-alaosuus tuuletettavan rakenneosan pinta-alasta</t>
  </si>
  <si>
    <t>&gt;0,20 %</t>
  </si>
  <si>
    <t>0,1 % -0,2 %</t>
  </si>
  <si>
    <t>0,03 - 0,1 %</t>
  </si>
  <si>
    <t>&lt; 0,03 %</t>
  </si>
  <si>
    <t>Tuuletusvälin yhtenäisyys</t>
  </si>
  <si>
    <t xml:space="preserve">Yhtenäinen tuuletettavan rakenteen levyinen tila </t>
  </si>
  <si>
    <t>Tuuletusraot, väli &lt; 150 mm</t>
  </si>
  <si>
    <t>B1b</t>
  </si>
  <si>
    <t>B1a</t>
  </si>
  <si>
    <t xml:space="preserve"> väli 150 - 250 mm</t>
  </si>
  <si>
    <t>väli 250 - 400 mm</t>
  </si>
  <si>
    <t>väli &gt;400 mm</t>
  </si>
  <si>
    <t>Tuuletusreitin sisäänvirtaus-aukkojen tai muiden virtausta kuristavien kohtien (kiinnitysorret yms.) pinta-alaosuus tuuletettavan rakenneosan pinta-alasta</t>
  </si>
  <si>
    <t xml:space="preserve">Alaosuus </t>
  </si>
  <si>
    <t>B1c</t>
  </si>
  <si>
    <t>kpl virtausreitillä</t>
  </si>
  <si>
    <t>max 3</t>
  </si>
  <si>
    <t>&gt;15</t>
  </si>
  <si>
    <t>painokerroin = 0,3</t>
  </si>
  <si>
    <t>&lt; 0,01 %</t>
  </si>
  <si>
    <t>4 - 8</t>
  </si>
  <si>
    <t>8 - 15</t>
  </si>
  <si>
    <t>painokerroin = 0,5</t>
  </si>
  <si>
    <t>painokerroin = 0,2</t>
  </si>
  <si>
    <t>Kerroin B1</t>
  </si>
  <si>
    <t>Tuuletusraot, väli 
&lt; 150 mm</t>
  </si>
  <si>
    <t>B2a</t>
  </si>
  <si>
    <t xml:space="preserve">Sadeveden tunkeutumismahdollisuus julkisivuverhouksen taakse </t>
  </si>
  <si>
    <t>Selkeästi puutteellinen suunnittelu</t>
  </si>
  <si>
    <t>B2b</t>
  </si>
  <si>
    <t>Julkisivuverhouksen taakse pääsevän/ kondensoituvan veden johtaminen ulos</t>
  </si>
  <si>
    <t xml:space="preserve">B2 =  B2a * B2b  </t>
  </si>
  <si>
    <t>Kerroin B2</t>
  </si>
  <si>
    <t>Kerroin B3</t>
  </si>
  <si>
    <t>Kerroin B4</t>
  </si>
  <si>
    <t>Tuuletuksen toteutuminen: B1</t>
  </si>
  <si>
    <t>&gt;0,40 %</t>
  </si>
  <si>
    <t>väli 150 - 250 mm</t>
  </si>
  <si>
    <t>Kerroin C - Toteutus</t>
  </si>
  <si>
    <t>Kerroin C1</t>
  </si>
  <si>
    <t>Kerroin C2</t>
  </si>
  <si>
    <t>Kerroin C3</t>
  </si>
  <si>
    <t>Kerroin C4</t>
  </si>
  <si>
    <t>Kerroin C5</t>
  </si>
  <si>
    <t>Kerroin D1</t>
  </si>
  <si>
    <t>Kerroin D2</t>
  </si>
  <si>
    <t>Kerroin D - Käytöstä aiheutuvat rasitukset - katteet</t>
  </si>
  <si>
    <t>Kerroin D - Käytöstä aiheutuvat rasitukset - julkisivu</t>
  </si>
  <si>
    <t>ENNUS - TERÄS</t>
  </si>
  <si>
    <t>Kerroin A1 - Rasitusluokka ja materiaali (tässä kuitenkin ilmoitettu käyttöikä)</t>
  </si>
  <si>
    <t>paino</t>
  </si>
  <si>
    <t>Aluskatejärjestelmä</t>
  </si>
  <si>
    <t>Suojaa kondenssilta ja vuodoilta</t>
  </si>
  <si>
    <t>Kondenssiveden paikallinen kerääntyminen mahdollinen, ei kunnollista veden poistoa</t>
  </si>
  <si>
    <t>Aluskatteen vuoto rakenteeseen mahdollinen</t>
  </si>
  <si>
    <t>Alusta</t>
  </si>
  <si>
    <t>(1=alhainen, 2=keskimääräinen, 3=korkea)</t>
  </si>
  <si>
    <t>A.1</t>
  </si>
  <si>
    <t>(1=rakenteen levyinen, 2&lt;150mm, 3=tuuletusraot, väli, 4=väli 150 - 200 mm, 5=väli 250 - 400 mm, 6=väli &gt; 400 mm)</t>
  </si>
  <si>
    <t>(1= max 3, 2= 4-8, 3 = 8 - 15, 4 0 &gt;15)</t>
  </si>
  <si>
    <t xml:space="preserve">                Kuristuskappletta virtausreitillä</t>
  </si>
  <si>
    <t>indirect kaava</t>
  </si>
  <si>
    <t>(1 = 0,1%-0,2%, 2 = 0,03 - 0,1%, 3 = 0,01-0,03%, 4 = &lt;0,01%)</t>
  </si>
  <si>
    <t>(1=Ei lävistävä, 2=Kiinnitys ohjeiden mukaan lävistävillä kiinnikkeillä, 3=Väärät kiinnikkeet tai määrä väärä)</t>
  </si>
  <si>
    <t>indirect</t>
  </si>
  <si>
    <t>(1=suojaa kondenssilta, 2=kondenssiveden paikallinen kerääntyminen,3=vuoto mahdollinen)</t>
  </si>
  <si>
    <t>Tuuletuksen toteutuminen</t>
  </si>
  <si>
    <t>(1=&gt;0,20, 2=0,1% - 0,2%, 3=0,03% - 0,1%, 4=&lt;0,03%)</t>
  </si>
  <si>
    <t>(1= max 3, 2= 4-8, 3 = 8 - 15, 4 = &gt;15)</t>
  </si>
  <si>
    <t>Kerroin B5</t>
  </si>
  <si>
    <t>(1=Kyllä, 2=ei)</t>
  </si>
  <si>
    <t>(1=Vilkasliikenteinen katu, 2=Vähäinen liikenne/sivukatu, 3=Pientaloalue (pienteollisuus?)</t>
  </si>
  <si>
    <t>(1=Liikkuminen rajoitettu, 2=Kevyen liikenteen aiheuttamat rasitukset / kolhut, 3=ajoneuvojen aiheuttamat vauriot)</t>
  </si>
  <si>
    <t>D3</t>
  </si>
  <si>
    <t>min</t>
  </si>
  <si>
    <t>muiden keskiarvo</t>
  </si>
  <si>
    <t>&gt; 0,03 %</t>
  </si>
  <si>
    <t>0,005 - 0,03 %</t>
  </si>
  <si>
    <t>&lt; 0,005 %</t>
  </si>
  <si>
    <t>painokerroin = 0,8</t>
  </si>
  <si>
    <t>B min</t>
  </si>
  <si>
    <t>0,10 % -0,4 %</t>
  </si>
  <si>
    <t>0,025 - 0,10 %</t>
  </si>
  <si>
    <t>0,01 % - 0,025 %</t>
  </si>
  <si>
    <t>(1=&gt;0,40%, 2=0,10% - 0,4%, 3=0,025% - 0,10%, 4=&lt;0,01%- 0,025 %, 5= &lt; 0,01 %)</t>
  </si>
  <si>
    <t>(1=rakenteen levyinen tila, 2= jako &lt;150mm, 3=jako 150 - 250 mm, 4=jako 250 - 400 mm, 5= jako&gt; 400 mm)</t>
  </si>
  <si>
    <t>(1 = 0,1 %, 2 = 0,025 - 0,1%, 3 = 0,01-0,025%, 4 = &lt;0,01%)</t>
  </si>
  <si>
    <t>&gt;0,10 %</t>
  </si>
  <si>
    <t>0,025 % -0,1 %</t>
  </si>
  <si>
    <t>0,01 - 0,025 %</t>
  </si>
  <si>
    <t>Kaksois-
kuorijulkisivu (lasipinta)</t>
  </si>
  <si>
    <t>maalattuille rakenteille C3</t>
  </si>
  <si>
    <t>CORTEN:illa isompi painoarvo esim. 0,8</t>
  </si>
  <si>
    <t>Corten, Sinkityt tuotteet</t>
  </si>
  <si>
    <t>Suola kyllä</t>
  </si>
  <si>
    <t>Katolla ei kävelytasoja. Huoltoliikenne rasittaa katetta</t>
  </si>
  <si>
    <t>Ei huoltoa</t>
  </si>
  <si>
    <t>Puhdistus ja maalaus kerran</t>
  </si>
  <si>
    <t>Puhdistus ja maalaus kaksi kertaa</t>
  </si>
  <si>
    <t>Sinkitty teräs (sinkki 275 g/m2)</t>
  </si>
  <si>
    <t>Sinkitty teräs (sinkki 350 g/m2)</t>
  </si>
  <si>
    <t>(1=C2, 2=C3, 3=C4)</t>
  </si>
  <si>
    <t>Ferriittinen ruostumaton teräs EN 1.4016</t>
  </si>
  <si>
    <t>Mn-seosteinen austeniittinen ruostumaton teräs EN 1.4372</t>
  </si>
  <si>
    <t>Ferriittinen ruostumaton teräs EN 1.4509</t>
  </si>
  <si>
    <t>1.4318 ja '1.4541</t>
  </si>
  <si>
    <t>1.4571</t>
  </si>
  <si>
    <t>lasijulkisivu + sinkki 275 g/m2 + PVDF 27µm</t>
  </si>
  <si>
    <t>case 1</t>
  </si>
  <si>
    <t>case 2</t>
  </si>
  <si>
    <t>case 3</t>
  </si>
  <si>
    <t>case 4</t>
  </si>
  <si>
    <t>case 5</t>
  </si>
  <si>
    <t>lasijulkisivu + ferriittinen ruostumaton teräs EN 1.4016</t>
  </si>
  <si>
    <t>Ruiskumaalattu teräs (epoksipohja + uretaanipinta, sisärakenne)</t>
  </si>
  <si>
    <t>Ruiskumaalattu teräs (epoksipohja + uretaanipinta, ulko)</t>
  </si>
  <si>
    <t>sinkki 350 g/m2 + Pural 50µm</t>
  </si>
  <si>
    <t>sinkki 350 g/m2 +PVDF 27µm</t>
  </si>
  <si>
    <t>sinkki 350 g/m2 + Mattapolyesteri 35µm</t>
  </si>
  <si>
    <t>sinkki 275 g/m2 +PVDF 27µm</t>
  </si>
  <si>
    <t>sinkki 275 g/m2 +PVDF 40µm</t>
  </si>
  <si>
    <t>sinkki 275 g/m2 +PVDF 60µm</t>
  </si>
  <si>
    <t>sinkki 275 g/m2 +Polyesteri 25µm</t>
  </si>
  <si>
    <t>lasijulkisivu + Ruostumaton teräs EN 1.4301/1.4307</t>
  </si>
  <si>
    <t>2R</t>
  </si>
  <si>
    <t>2K (2N)</t>
  </si>
  <si>
    <t>2J (DB)</t>
  </si>
  <si>
    <t>2G (3N)</t>
  </si>
  <si>
    <t>Hiottu</t>
  </si>
  <si>
    <t>Peitattu</t>
  </si>
  <si>
    <t>Valmiustilainen</t>
  </si>
  <si>
    <t>viimeistelytila</t>
  </si>
  <si>
    <t>Pinnoitteen tummuusaste</t>
  </si>
  <si>
    <t>ei erillista pinnoitetta</t>
  </si>
  <si>
    <t>Suola ei</t>
  </si>
  <si>
    <t>Vähäinen liikenne/sivukatu tai yli 10 m kaduntasosta</t>
  </si>
  <si>
    <t>Pientaloalue /pienteollisuusalue</t>
  </si>
  <si>
    <t>D</t>
  </si>
  <si>
    <t xml:space="preserve">Ruostumattomat </t>
  </si>
  <si>
    <t>P</t>
  </si>
  <si>
    <t>M</t>
  </si>
  <si>
    <t>Indirect kaavat =vihreä väri</t>
  </si>
  <si>
    <t>Kertoimien solut</t>
  </si>
  <si>
    <t>Huomautukset sekä kaava</t>
  </si>
  <si>
    <t>Valinnat keltaisissa soluissa</t>
  </si>
  <si>
    <t>NOTES:</t>
  </si>
  <si>
    <t>A1R</t>
  </si>
  <si>
    <t>A2</t>
  </si>
  <si>
    <t xml:space="preserve">     Korroosionopeus (tuuletetut julkisivut)</t>
  </si>
  <si>
    <t xml:space="preserve">     Korroosionopeus (kaksoiskuorijulkisivu)</t>
  </si>
  <si>
    <t xml:space="preserve">     Korroosionopeus (ohutlevykatteet)</t>
  </si>
  <si>
    <t xml:space="preserve">     Korroosionopeus (runkorakenteet)</t>
  </si>
  <si>
    <t xml:space="preserve">     Korroosio-olosuhteet (kaksoiskuorijulkisivu)</t>
  </si>
  <si>
    <t xml:space="preserve">     Korroosio-olosuhteet (ohutlevykatteet)</t>
  </si>
  <si>
    <t xml:space="preserve">     Korroosio-olosuhteet (runkorakenteet)</t>
  </si>
  <si>
    <t>(1=2R, 2=2B, 3=2K, 4=2J, 5=2G)</t>
  </si>
  <si>
    <t xml:space="preserve">     Korroosionopeus</t>
  </si>
  <si>
    <t xml:space="preserve">     Korroosion -olosuhteet</t>
  </si>
  <si>
    <t>Korroosion taso , jos ruostumaton teräs</t>
  </si>
  <si>
    <t>A2R</t>
  </si>
  <si>
    <t>kaksoiskuori JS</t>
  </si>
  <si>
    <t>JS</t>
  </si>
  <si>
    <t>sandwich</t>
  </si>
  <si>
    <t>katteet</t>
  </si>
  <si>
    <t>runko</t>
  </si>
  <si>
    <t>Pinnan laatu jos runkorakenne</t>
  </si>
  <si>
    <t>(1=Ferriittinen ruostumaton teräs EN 1.4016, 2=Ruostumaton teräs EN 1.4301/1.4307, 3=Haponkestävä ruostumaton teräs EN 1.4401/1.4404, 4=Mn-seosteinen austeniittinen ruostumaton teräs EN 1.4372)</t>
  </si>
  <si>
    <t>R1</t>
  </si>
  <si>
    <t>R2</t>
  </si>
  <si>
    <t>R3</t>
  </si>
  <si>
    <t>R4</t>
  </si>
  <si>
    <t>Tuotteen materiaalin kerroin</t>
  </si>
  <si>
    <t>keskim.</t>
  </si>
  <si>
    <t>(1=Peitattu, 2=Hiottu, 3=Valmiustilainen)</t>
  </si>
  <si>
    <t>P=pinnoitettu, R=Ruostumaton,M=Muu; 0=väärä valinta</t>
  </si>
  <si>
    <t xml:space="preserve">     Korroosionopeus (sandwich elementti)</t>
  </si>
  <si>
    <t xml:space="preserve">     Korroosio-olosuhteet (sandwich elementti)</t>
  </si>
  <si>
    <t>Kiinnikkeiden rasitusolosuhde</t>
  </si>
  <si>
    <t>Runkorakenteet</t>
  </si>
  <si>
    <t xml:space="preserve">     Korroosio-olosuhteet (tuuletetut julkisivut)</t>
  </si>
  <si>
    <t>or kaava</t>
  </si>
  <si>
    <t>Tuuletusväli lämpötilan hallinta</t>
  </si>
  <si>
    <t xml:space="preserve">         Tuuletuksen toteutuminen</t>
  </si>
  <si>
    <t xml:space="preserve">         Tuuletuksen jakautuminen</t>
  </si>
  <si>
    <t xml:space="preserve">         Lasin säteilynläpäisevyys</t>
  </si>
  <si>
    <t>Sadeveden tunkeutumisriski</t>
  </si>
  <si>
    <t xml:space="preserve">         Sadeveden tunkeutumismahdollisuus julkisivuverhouksen taakse </t>
  </si>
  <si>
    <t xml:space="preserve">         Sadelle alttiiksi kallistettuja lasikatteisia pintoja </t>
  </si>
  <si>
    <t>Ilmavälin huolettavuus</t>
  </si>
  <si>
    <t xml:space="preserve">         Ilmavälin syvyys</t>
  </si>
  <si>
    <t xml:space="preserve">         Ilmavälin huollon suunnittelu</t>
  </si>
  <si>
    <t>Ilmavälin rakenteiden laatu</t>
  </si>
  <si>
    <t>Lämpöliikkeiden hallinta</t>
  </si>
  <si>
    <t>C. Toteutus (julkisivu ja katteet)</t>
  </si>
  <si>
    <t>(1=Ohjeiden mukaiset menetelmät ja työkalut, 2=Väärät menetelmät ja työkalut)</t>
  </si>
  <si>
    <t>(1=Huolellisesti suoritettu, 2=Puutteellisesti suoritettu)</t>
  </si>
  <si>
    <t>(1=Ohjeiden mukainen, 2=Puutteellisesti suojattu käsitelty)</t>
  </si>
  <si>
    <t>(1=puhdistus ja maalaus kerran; 2= puhdistus ja maalaus 2 kertaa; 3=ei uusintamaalausta)</t>
  </si>
  <si>
    <t>Maalityyppi</t>
  </si>
  <si>
    <t>G1jaG1R</t>
  </si>
  <si>
    <t>G2</t>
  </si>
  <si>
    <t xml:space="preserve">     Huolto, kaksoiskuorijulkisivu</t>
  </si>
  <si>
    <t xml:space="preserve">     Huolto, ohutlevykatteet</t>
  </si>
  <si>
    <t xml:space="preserve">     Huolto, runkorakenteet</t>
  </si>
  <si>
    <t xml:space="preserve">     Huolto, tuuletetut julkisivut</t>
  </si>
  <si>
    <t xml:space="preserve">     Huolto, sandwich elementti</t>
  </si>
  <si>
    <r>
      <t xml:space="preserve">Leikkausreunojen </t>
    </r>
    <r>
      <rPr>
        <sz val="10"/>
        <rFont val="Arial"/>
        <family val="0"/>
      </rPr>
      <t>suojaus työmaalla</t>
    </r>
  </si>
  <si>
    <t>Liikenteen rasitukset (ruostumaton teräs)</t>
  </si>
  <si>
    <t>Kerroin G-  Huolto</t>
  </si>
  <si>
    <t>Kerroin G1</t>
  </si>
  <si>
    <t>Kerroin G2</t>
  </si>
  <si>
    <t>Uusintamaalaus</t>
  </si>
  <si>
    <t>Ei uusintamaalausta</t>
  </si>
  <si>
    <t>kertoimet alla olevan taulukon mukaan</t>
  </si>
  <si>
    <t>olosuhde C4</t>
  </si>
  <si>
    <t>vertailukäyttöikä</t>
  </si>
  <si>
    <t>Pinnan laatu (runko)</t>
  </si>
  <si>
    <t>B. Rakenneratkaisut - teräsjulkisivut</t>
  </si>
  <si>
    <t>B. Rakenneraitkaisut - Teräsohutlevykatteet</t>
  </si>
  <si>
    <t>Muut, myös CORTEN</t>
  </si>
  <si>
    <t>Sisäilman aiheuttamat rasitukset</t>
  </si>
  <si>
    <t>sinkitty teräs</t>
  </si>
  <si>
    <t>Sinkitty teräs</t>
  </si>
  <si>
    <t>(1=sinkitty teräs, 2= ruostumaton teräs, 3=haponkestävä teräs, 4=corten kiinnike)</t>
  </si>
  <si>
    <t xml:space="preserve">Kerroin B2 </t>
  </si>
  <si>
    <t>Detaljit</t>
  </si>
  <si>
    <t>Kiinnitystapa</t>
  </si>
  <si>
    <t>Sisäilma</t>
  </si>
  <si>
    <t>Korkeammat kosteuskuormat tai lieviä puutteita höyryn/ilmansulussa</t>
  </si>
  <si>
    <t>Huomattavia kosteuskuormia ja puutteita höyryn/ilmansulussa</t>
  </si>
  <si>
    <t xml:space="preserve">Korkeammat kosteuskuormat ja puutteita höyryn/ilmansulussa </t>
  </si>
  <si>
    <t>(1=Kävely- ja huoltotasot katolla, 2 =Katolla ei kävelytasoja. Huoltoliikenne rasittaa katetta)</t>
  </si>
  <si>
    <t>(1=Sisäilman olosuhteet vastaavat asuitalon kuormia, ilmasulun toimivuus hyvä, 2=Korkeammat kosteuskuormat tai lieviä puutteita höyryn/ilmansulussa, 3=Korkeammat kosteuskuormat ja puutteita höyryn/ilmansulussa, 4=Huomattavia kosteuskuormia ja puutteita höyryn/ilmansulussa)</t>
  </si>
  <si>
    <t>Sisäilman olosuhteet vastaavat asuitalon kuormia, ilmasulun toimivuus hyvä</t>
  </si>
  <si>
    <t>D1a</t>
  </si>
  <si>
    <t>Kerroin D1a</t>
  </si>
  <si>
    <t>Erityinen huomio sadekuormitusta vastaan</t>
  </si>
  <si>
    <t>Normaalitason suunnittelu</t>
  </si>
  <si>
    <t>Alimitoitettu ikkunapellitys, vuotoriski</t>
  </si>
  <si>
    <t>(1=Erityinen huomio sadekuormitusta vastaan,2=Normaalitason suunnittelu, 3=Alimitoitettu ikkunapellitys, vuotoriski, 4= Selkeästi puutteellinen suunnittelu)</t>
  </si>
  <si>
    <t>(1=Suunniteltu veden poisjohtaminen, 2=jotain vaakapintoja; 3=paljon vaakapintoja;4=kerääviä rakenneonteloita)</t>
  </si>
  <si>
    <t>Suunniteltu veden poisjohtaminen</t>
  </si>
  <si>
    <t>Joitakin vaakapintoja</t>
  </si>
  <si>
    <t>Paljon vaakapintoja</t>
  </si>
  <si>
    <t>Vettä kerääviä rakenneonteloita</t>
  </si>
  <si>
    <t xml:space="preserve">muut </t>
  </si>
  <si>
    <t>D2</t>
  </si>
  <si>
    <t>sinkki 275 g/m2 + Pural 50µm</t>
  </si>
  <si>
    <t>sinkki 275 g/m2 + Mattapolyesteri 35µm</t>
  </si>
  <si>
    <t>Onko tuuletettu rakenne</t>
  </si>
  <si>
    <t>Jos tuuletettu sitten, (1=Sisäilman olosuhteet vastaavat asuitalon kuormia, ilmasulun toimivuus hyvä, 2=Tavanomaista asuinkäyttöä korkeammat sisäilman kuormat tai lieviä puutteita höyryn/ilmansulussa)</t>
  </si>
  <si>
    <t>Jos sandwich, sitten (1=Sisäilman olosuhteet vastaavat asuitalon kuormia, ilmasulun toimivuus hyvä, 2=Kasvanut kosteuskuorma, mahdollisuus tunkea rakenteeseen,  3=Huomattavasti kasvanut kosteuskuorma, mahdollisuus tunkea rakenteeseen)</t>
  </si>
  <si>
    <t>Kerroin D3</t>
  </si>
  <si>
    <t>Tuuletettu rakenne</t>
  </si>
  <si>
    <t xml:space="preserve">Sisäilman olosuhteet vastaavat asuitalon kuormia, ilmasulun toimivuus hyvä, </t>
  </si>
  <si>
    <t>Tavanomaista asuinkäyttöä korkeammat sisäilman kuormat tai lieviä puutteita höyryn/ilmansulussa)</t>
  </si>
  <si>
    <t>Sandwich rakenne</t>
  </si>
  <si>
    <t>Kasvanut kosteuskuorma, mahdollisuus tunkea rakenteeseen</t>
  </si>
  <si>
    <t>Huomattavasti kasvanut kosteuskuorma, mahdollisuus tunkea rakenteeseen</t>
  </si>
  <si>
    <t>Kerroin B - Kaksoikuorijulkisivu</t>
  </si>
  <si>
    <t>Tuuletusvälin lämpötilan hallinta</t>
  </si>
  <si>
    <t xml:space="preserve">Julkisivujen tuuletus on mitoitettu kuormituksen mukaan  </t>
  </si>
  <si>
    <t xml:space="preserve">Ei tuuletuksen mitoitusta </t>
  </si>
  <si>
    <t>Ei tuuletuksen säätöautomatiikkaa</t>
  </si>
  <si>
    <t>Puutteita mitoituksessa</t>
  </si>
  <si>
    <t>Tuuletuksen jakautuminen</t>
  </si>
  <si>
    <t>Tuuletus kattaa koko tuuletettavan julkisivu</t>
  </si>
  <si>
    <r>
      <t xml:space="preserve">painokerroin </t>
    </r>
    <r>
      <rPr>
        <b/>
        <sz val="12"/>
        <color indexed="8"/>
        <rFont val="Times New Roman"/>
        <family val="1"/>
      </rPr>
      <t>w1b = 0,20</t>
    </r>
  </si>
  <si>
    <t>Katveita tai muuten epätasainen ilmanjako</t>
  </si>
  <si>
    <t>Ulkolasi</t>
  </si>
  <si>
    <t>Lasin säteilynläpäisevyys</t>
  </si>
  <si>
    <t>Lasin läpäisyominaisuudet valittu julkisivun suuntauksesta riippuvan kuormituksen mukaan</t>
  </si>
  <si>
    <r>
      <t xml:space="preserve">painokerroin </t>
    </r>
    <r>
      <rPr>
        <b/>
        <sz val="12"/>
        <color indexed="8"/>
        <rFont val="Times New Roman"/>
        <family val="1"/>
      </rPr>
      <t>w1b = 0,50</t>
    </r>
  </si>
  <si>
    <t>Ei huomiota lasiosien läpäisevyyksien suunnitteluun</t>
  </si>
  <si>
    <r>
      <t>Sadeveden tunkeutumisen mahdollisuus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julkisivuverhouksen taakse </t>
    </r>
  </si>
  <si>
    <t xml:space="preserve">Detaljien ja tiivisteiden suunnittelu kuormituksen mukaisiin oloihin </t>
  </si>
  <si>
    <t xml:space="preserve">Ei erityishuomiota sateenpitävyyden pysyvyyteen </t>
  </si>
  <si>
    <t xml:space="preserve">Sateelle alttiiksi kallistettuja lasikatteisia pintoja </t>
  </si>
  <si>
    <t>Kallistuskulma (90º = pystysuora)</t>
  </si>
  <si>
    <t>B2 =  B2a *  B2b</t>
  </si>
  <si>
    <t>Ilmavälin huollettavuus</t>
  </si>
  <si>
    <t>Ilmavälin syvyys</t>
  </si>
  <si>
    <t>B3a</t>
  </si>
  <si>
    <t>Tila on riittävä tarkastukseen ja huoltoon</t>
  </si>
  <si>
    <t>Tila ei ole riittävä kaikilta osin</t>
  </si>
  <si>
    <t>Tila liian ahdas huoltoon ilmavälistä käsin</t>
  </si>
  <si>
    <t>Ilmavälin huollon suunnittelu</t>
  </si>
  <si>
    <t>B3b</t>
  </si>
  <si>
    <t xml:space="preserve">Kaikki ilmavälin tilat suunniteltu ja varusteltu luoksepäästäviksi  </t>
  </si>
  <si>
    <t>Yksittäisiä puutteita em. suunnittelussa / toteutuksessa</t>
  </si>
  <si>
    <t>Useita puutteita</t>
  </si>
  <si>
    <t>B3 =  B3a *  B3b</t>
  </si>
  <si>
    <r>
      <t>Ilmavälin rakenteiden laatu</t>
    </r>
    <r>
      <rPr>
        <sz val="12"/>
        <color indexed="8"/>
        <rFont val="Times New Roman"/>
        <family val="1"/>
      </rPr>
      <t xml:space="preserve">  </t>
    </r>
  </si>
  <si>
    <t>Rakenteeseen kohdistuvien rasitusten mukaiset materiaalit ja pinnoitukset</t>
  </si>
  <si>
    <t>Pieniä puutteita materiaali- tai pinnoitusvalinnoissa</t>
  </si>
  <si>
    <t>Toimimattomia materiaali- tai pinnoitusvalintoja</t>
  </si>
  <si>
    <t>Rakenteen kokonaiskerroin B</t>
  </si>
  <si>
    <r>
      <t>B = B</t>
    </r>
    <r>
      <rPr>
        <b/>
        <vertAlign val="subscript"/>
        <sz val="12"/>
        <color indexed="8"/>
        <rFont val="Times New Roman"/>
        <family val="1"/>
      </rPr>
      <t>min</t>
    </r>
    <r>
      <rPr>
        <b/>
        <sz val="12"/>
        <color indexed="8"/>
        <rFont val="Times New Roman"/>
        <family val="1"/>
      </rPr>
      <t xml:space="preserve"> * B</t>
    </r>
    <r>
      <rPr>
        <b/>
        <vertAlign val="subscript"/>
        <sz val="12"/>
        <color indexed="8"/>
        <rFont val="Times New Roman"/>
        <family val="1"/>
      </rPr>
      <t>,ver4-Bmin</t>
    </r>
  </si>
  <si>
    <t>Korostaa huonoimman tekijän merkitystä ja ottaa muutkin huomioon. Voidaan kompensoida heikkoja kohtia, mutta muita ei voida huonontaa kokonaisuuden kärsimättä.</t>
  </si>
  <si>
    <r>
      <t>B</t>
    </r>
    <r>
      <rPr>
        <b/>
        <vertAlign val="subscript"/>
        <sz val="12"/>
        <color indexed="8"/>
        <rFont val="Times New Roman"/>
        <family val="1"/>
      </rPr>
      <t>min</t>
    </r>
    <r>
      <rPr>
        <b/>
        <sz val="12"/>
        <color indexed="8"/>
        <rFont val="Times New Roman"/>
        <family val="1"/>
      </rPr>
      <t xml:space="preserve"> = min(B1,B2,B3,B4,B5)</t>
    </r>
  </si>
  <si>
    <r>
      <t>B</t>
    </r>
    <r>
      <rPr>
        <b/>
        <vertAlign val="subscript"/>
        <sz val="12"/>
        <color indexed="8"/>
        <rFont val="Times New Roman"/>
        <family val="1"/>
      </rPr>
      <t>aver4-Bmin</t>
    </r>
    <r>
      <rPr>
        <b/>
        <sz val="12"/>
        <color indexed="8"/>
        <rFont val="Times New Roman"/>
        <family val="1"/>
      </rPr>
      <t xml:space="preserve"> = (B1+B2+B3+B4+B5-Bmin)/4</t>
    </r>
  </si>
  <si>
    <t xml:space="preserve"> B1b</t>
  </si>
  <si>
    <t>Kallistuskulma 80 - 90º</t>
  </si>
  <si>
    <t>Kallistuskulma 60 - 80 º</t>
  </si>
  <si>
    <t>Kallistuskulma 45 - 60 º</t>
  </si>
  <si>
    <t>Kallistuskulma &lt; 45 º</t>
  </si>
  <si>
    <t>Ei erityishuomiota lämpöliikkeisiin, korkeus h &gt; 8 m</t>
  </si>
  <si>
    <t>Lämpöliikkeiden hallinta otettu huomioon rakenteen ja liitosrakenteiden suunnitellussa</t>
  </si>
  <si>
    <t>Ei erityishuomiota lämpöliikkeisiin, korkeus h &lt; tai = 8 m</t>
  </si>
  <si>
    <t>(1=Julkisivujen tuuletus on mitoitettu kuormituksen mukaan, 2=Ei tuuletuksen mitoitusta, 3=Ei tuuletuksen säätöautomatiikkaa, 4=Puutteita mitoituksessa</t>
  </si>
  <si>
    <t>(1=Tuuletus kattaa koko tuuletettavan julkisivu,2=Katveita tai muuten epätasainen ilmanjako)</t>
  </si>
  <si>
    <t>(1=Lasin läpäisyominaisuudet valittu julkisivun suuntauksesta riippuvan kuormituksen mukaan,2=Ei huomiota lasiosien läpäisevyyksien suunnitteluun)</t>
  </si>
  <si>
    <t>(1=Detaljien ja tiivisteiden suunnittelu kuormituksen mukaisiin oloihin, 2=Ei erityishuomiota sateenpitävyyden pysyvyyteen)</t>
  </si>
  <si>
    <t>(1=Kallistuskulma 80 - 90º, 2=Kallistuskulma 60 - 80 º, 3=Kallistuskulma 45 - 60 º, 4=Kallistuskulma &lt; 45 º)</t>
  </si>
  <si>
    <t>(1=Tila on riittävä tarkastukseen ja huoltoon, 2=Tila ei ole riittävä kaikilta osin,3=Tila liian ahdas huoltoon ilmavälistä käsin)</t>
  </si>
  <si>
    <t>(1=Kaikki ilmavälin tilat suunniteltu ja varusteltu luoksepäästäviksi , 2=Yksittäisiä puutteita em. suunnittelussa / toteutuksessa, 3=Useita puutteita)</t>
  </si>
  <si>
    <t>(1=Rakenteeseen kohdistuvien rasitusten mukaiset materiaalit ja pinnoitukset, 2=Pieniä puutteita materiaali- tai pinnoitusvalinnoissa, 3=Toimimattomia materiaali- tai pinnoitusvalintoja)</t>
  </si>
  <si>
    <t>(1=Lämpöliikkeiden hallinta otettu huomioon rakenteen ja liitosrakenteiden suunnitellussa, 2=Ei erityishuomiota lämpöliikkeisiin, korkeus h &lt; tai = 8 m, 3=Ei erityishuomiota lämpöliikkeisiin, korkeus h &gt; 8 m)</t>
  </si>
  <si>
    <t>Kerroin B KKJS</t>
  </si>
  <si>
    <t>Bmin</t>
  </si>
  <si>
    <t>B,aver-Bmin</t>
  </si>
  <si>
    <t>Kinnikkeiden rasitusolosuhde ja yhteensopivuus</t>
  </si>
  <si>
    <t>B1d</t>
  </si>
  <si>
    <t>Katon kaltevuus</t>
  </si>
  <si>
    <t>&gt; 1:3</t>
  </si>
  <si>
    <t>1:7 - 1:3</t>
  </si>
  <si>
    <t>&lt; 1:7</t>
  </si>
  <si>
    <t>B1e</t>
  </si>
  <si>
    <t>Katon tuulepaine-olot</t>
  </si>
  <si>
    <t>Korkea rakennus, tuuliset olot</t>
  </si>
  <si>
    <t>Normaalit tuulepaineolot</t>
  </si>
  <si>
    <t>Tuulensuojainen rakannuuspaikka</t>
  </si>
  <si>
    <t>(1= &gt; 1:3, 2 =1:7 - 1:3, 3 =&lt; 1:7 )</t>
  </si>
  <si>
    <t>muut/kaksoiskuorijulkisivu</t>
  </si>
  <si>
    <t>Ruostumaton teräs EN 1.4541</t>
  </si>
  <si>
    <t>Haponkestävä ruostumaton teräs EN 1.4571</t>
  </si>
  <si>
    <t>Ruostumaton ja Corten</t>
  </si>
  <si>
    <t>Kylmäsillat</t>
  </si>
  <si>
    <t xml:space="preserve">         Riski muodostaa kylmäsiltoja</t>
  </si>
  <si>
    <t>B1</t>
  </si>
  <si>
    <t>B2</t>
  </si>
  <si>
    <t>Kerroin B Runko</t>
  </si>
  <si>
    <t>(1="dTp &lt; 1 C-astetta; 2=dTp &gt; = 1 C-astetta; 3=Sisäpinnan kondenssi mahdollinen)</t>
  </si>
  <si>
    <t>(1=Suojattuna sateelta ja auringon säteilyltä; 2=Alttioina auringon säteilylle; 3=Alttiina sateelle)</t>
  </si>
  <si>
    <t>Kerroin B - Runko</t>
  </si>
  <si>
    <t xml:space="preserve">Kylmäsillat </t>
  </si>
  <si>
    <t xml:space="preserve">Runkorakenteen riski muodostaa kylmäsilta </t>
  </si>
  <si>
    <t xml:space="preserve">dTp &lt; 1,0 ºC </t>
  </si>
  <si>
    <t>Sisäpinnan kondenssi mahdollinen</t>
  </si>
  <si>
    <t xml:space="preserve">Runkorakenne osittain ulkoilmassa </t>
  </si>
  <si>
    <t>Suojattuna sateelta ja auringon säteilyltä</t>
  </si>
  <si>
    <t>maalattu</t>
  </si>
  <si>
    <t>muu</t>
  </si>
  <si>
    <t>Alttiina auringon säteillylle</t>
  </si>
  <si>
    <t>Alttiina sateelle</t>
  </si>
  <si>
    <t>Runko alttiina käytön, huollon tai liikenteen aiheuttamille merkittäville rasituksille, kolhuille yms.</t>
  </si>
  <si>
    <t>Suojassa em. rasituksilta</t>
  </si>
  <si>
    <t>A2 Kaksoiskuorijulkisivu</t>
  </si>
  <si>
    <t>A2 muut</t>
  </si>
  <si>
    <t>(1=ei määritetty, 2=Musta, 3=Harmaa, 4=Valkoinen)</t>
  </si>
  <si>
    <t>jos ruostumaton levy silloin riski</t>
  </si>
  <si>
    <t>vain Corten tapauksessa</t>
  </si>
  <si>
    <t>rajoituu ulkoilmaan</t>
  </si>
  <si>
    <t>(1=Korkea rakennus, tuuliset olot; 2=Normaalit tuulenpaineolot; 3=Tuulensuojainen rakannuuspaikka)</t>
  </si>
  <si>
    <t>Muut rakennetekijät</t>
  </si>
  <si>
    <t>Kerroin B6</t>
  </si>
  <si>
    <t>(1=Ei muita tekijöitä, 2=Vino sisäkatto)</t>
  </si>
  <si>
    <t>Ei muita tekijöitä</t>
  </si>
  <si>
    <t>Vino sisäkatto</t>
  </si>
  <si>
    <t>B. Rakenneratkaisut - Runko</t>
  </si>
  <si>
    <t xml:space="preserve">Sisäverhouksen pintalämpötilan maksimipoikkeama rungon kohdalla, dTp = Tp,runko –Tp,muu </t>
  </si>
  <si>
    <t>dTp ³ 1,0 ºC</t>
  </si>
  <si>
    <t>Kiinnitys lävistävillä kiinnikkeillä</t>
  </si>
  <si>
    <t>(1=Ohjeiden mukainen, 2=Vähäisiä kolhuja/naarmuja, 3= Selviä kolhuja/naarmuja, 4=runsaasti kolhuja/naarmuja)</t>
  </si>
  <si>
    <t>D. Käytöstä aiheutuvat rasitukset - runko</t>
  </si>
  <si>
    <t>D. Käytöstä aiheutuvat rasitukset - katteet</t>
  </si>
  <si>
    <t>(1=Runko alttiina käytön, huollon tai liikenteen aiheuttamille merkittäville rasituksille, kolhuille yms., 2=Suojassa em. rasituksilta)</t>
  </si>
  <si>
    <t>Kerroin D runko</t>
  </si>
  <si>
    <t>Kerroin D kate</t>
  </si>
  <si>
    <t>D. Käytöstä aiheutuvat rasitukset - kaksoiskuorijulkisivu</t>
  </si>
  <si>
    <t>D. Käytöstä aiheutuvat rasitukset - tuulettu JS ja sandwich JS</t>
  </si>
  <si>
    <t>Kerroin D JS</t>
  </si>
  <si>
    <t>Kerroin D KKJS</t>
  </si>
  <si>
    <t>B. Rakenneratkaisut - Kaksoiskuorijulkisivu</t>
  </si>
  <si>
    <t>Rakenne osittain ulkoilmassa</t>
  </si>
  <si>
    <t>G. Huolto ja kunnossapito - Teräsjulkisivu, katteet ja runko</t>
  </si>
  <si>
    <t>Kerroin D - Käytön aiheuttamat rasitukset - Runkorakenne</t>
  </si>
  <si>
    <t>Kerroin D - Käytön aiheuttamat rasitukset - Kaksoiskuorijulkisivu</t>
  </si>
  <si>
    <t xml:space="preserve">(1=Ei rasituksia;2=Merkittäviä käytöstä aiheutuvia rasituksia)   </t>
  </si>
  <si>
    <t>VTT</t>
  </si>
  <si>
    <t>Korroosion olo-suhde (RST)</t>
  </si>
  <si>
    <t>Pinnan laatu (RST)</t>
  </si>
  <si>
    <t xml:space="preserve">B1 =  0,5 * B1a + 0,2 * B1b + 0,3 * B1c </t>
  </si>
  <si>
    <t>B1 = ( 0,3 * B1a + 0,2 * B1b + 0,5 * B1c)</t>
  </si>
  <si>
    <t>B1 = ( 0,5 * B1a + 0,2 * B1b + 0,3 * B1c)* B1d*B1e</t>
  </si>
  <si>
    <r>
      <t>B = B</t>
    </r>
    <r>
      <rPr>
        <b/>
        <vertAlign val="subscript"/>
        <sz val="12"/>
        <color indexed="8"/>
        <rFont val="Times New Roman"/>
        <family val="1"/>
      </rPr>
      <t>min</t>
    </r>
    <r>
      <rPr>
        <b/>
        <sz val="12"/>
        <color indexed="8"/>
        <rFont val="Times New Roman"/>
        <family val="1"/>
      </rPr>
      <t xml:space="preserve"> * B</t>
    </r>
    <r>
      <rPr>
        <b/>
        <vertAlign val="subscript"/>
        <sz val="12"/>
        <color indexed="8"/>
        <rFont val="Times New Roman"/>
        <family val="1"/>
      </rPr>
      <t>,aver5-Bmin</t>
    </r>
  </si>
  <si>
    <r>
      <t>B</t>
    </r>
    <r>
      <rPr>
        <b/>
        <vertAlign val="subscript"/>
        <sz val="12"/>
        <color indexed="8"/>
        <rFont val="Times New Roman"/>
        <family val="1"/>
      </rPr>
      <t>min</t>
    </r>
    <r>
      <rPr>
        <b/>
        <sz val="12"/>
        <color indexed="8"/>
        <rFont val="Times New Roman"/>
        <family val="1"/>
      </rPr>
      <t xml:space="preserve"> = min(B1,B2,B4,B5,B6)</t>
    </r>
  </si>
  <si>
    <r>
      <t>B</t>
    </r>
    <r>
      <rPr>
        <b/>
        <vertAlign val="subscript"/>
        <sz val="12"/>
        <color indexed="8"/>
        <rFont val="Times New Roman"/>
        <family val="1"/>
      </rPr>
      <t>aver5-Bmin</t>
    </r>
    <r>
      <rPr>
        <b/>
        <sz val="12"/>
        <color indexed="8"/>
        <rFont val="Times New Roman"/>
        <family val="1"/>
      </rPr>
      <t xml:space="preserve"> = (B1+B2+B4+B5+B6-Bmin)/4</t>
    </r>
  </si>
  <si>
    <t xml:space="preserve"> </t>
  </si>
  <si>
    <t>Tarkasteltava kohde</t>
  </si>
  <si>
    <t>Tänne kirjoitetaan  tarkastettavan kohteen tunnus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</si>
</sst>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%"/>
    <numFmt numFmtId="182" formatCode="0.000"/>
    <numFmt numFmtId="183" formatCode="dd/mm/yyyy"/>
    <numFmt numFmtId="184" formatCode="0.0000"/>
    <numFmt numFmtId="185" formatCode="0.00000"/>
    <numFmt numFmtId="186" formatCode="dd:mm:yyyy"/>
    <numFmt numFmtId="187" formatCode="[$-40B]d\.\ mmmm&quot;ta &quot;yyyy"/>
    <numFmt numFmtId="188" formatCode="d\.m\.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\ _k_r_-;\-* #,##0.0\ _k_r_-;_-* &quot;-&quot;??\ _k_r_-;_-@_-"/>
    <numFmt numFmtId="194" formatCode="0.00000000"/>
    <numFmt numFmtId="195" formatCode="0.0000000"/>
    <numFmt numFmtId="196" formatCode="0.000000"/>
    <numFmt numFmtId="197" formatCode="0.0000000000"/>
    <numFmt numFmtId="198" formatCode="0.00000000000"/>
    <numFmt numFmtId="199" formatCode="0.000000000"/>
    <numFmt numFmtId="200" formatCode="#,##0.0"/>
  </numFmts>
  <fonts count="9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4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4"/>
      <color indexed="1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23"/>
      <name val="Arial"/>
      <family val="2"/>
    </font>
    <font>
      <b/>
      <sz val="8"/>
      <color indexed="18"/>
      <name val="Arial"/>
      <family val="2"/>
    </font>
    <font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0"/>
      <color indexed="55"/>
      <name val="Arial"/>
      <family val="2"/>
    </font>
    <font>
      <strike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9"/>
      <color indexed="17"/>
      <name val="Arial"/>
      <family val="0"/>
    </font>
    <font>
      <strike/>
      <sz val="10"/>
      <name val="Arial"/>
      <family val="0"/>
    </font>
    <font>
      <sz val="8"/>
      <color indexed="17"/>
      <name val="Arial"/>
      <family val="0"/>
    </font>
    <font>
      <b/>
      <sz val="9"/>
      <color indexed="17"/>
      <name val="Arial"/>
      <family val="2"/>
    </font>
    <font>
      <b/>
      <sz val="10"/>
      <color indexed="4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b/>
      <vertAlign val="sub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2"/>
      <name val="Arial"/>
      <family val="0"/>
    </font>
    <font>
      <b/>
      <i/>
      <sz val="10"/>
      <color indexed="55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1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78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2" applyNumberFormat="0" applyAlignment="0" applyProtection="0"/>
    <xf numFmtId="0" fontId="81" fillId="0" borderId="3" applyNumberFormat="0" applyFill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2" applyNumberFormat="0" applyAlignment="0" applyProtection="0"/>
    <xf numFmtId="0" fontId="90" fillId="32" borderId="8" applyNumberFormat="0" applyAlignment="0" applyProtection="0"/>
    <xf numFmtId="0" fontId="91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1" fontId="13" fillId="35" borderId="10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vertical="center"/>
      <protection locked="0"/>
    </xf>
    <xf numFmtId="0" fontId="1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80" fontId="13" fillId="35" borderId="10" xfId="0" applyNumberFormat="1" applyFont="1" applyFill="1" applyBorder="1" applyAlignment="1" applyProtection="1">
      <alignment horizontal="center" vertical="center"/>
      <protection hidden="1"/>
    </xf>
    <xf numFmtId="2" fontId="13" fillId="35" borderId="10" xfId="0" applyNumberFormat="1" applyFont="1" applyFill="1" applyBorder="1" applyAlignment="1" applyProtection="1">
      <alignment horizontal="center" vertical="center"/>
      <protection hidden="1"/>
    </xf>
    <xf numFmtId="180" fontId="0" fillId="34" borderId="0" xfId="0" applyNumberFormat="1" applyFill="1" applyBorder="1" applyAlignment="1">
      <alignment vertical="center"/>
    </xf>
    <xf numFmtId="0" fontId="13" fillId="35" borderId="10" xfId="0" applyFont="1" applyFill="1" applyBorder="1" applyAlignment="1" applyProtection="1">
      <alignment horizontal="left" vertical="center"/>
      <protection locked="0"/>
    </xf>
    <xf numFmtId="1" fontId="10" fillId="36" borderId="10" xfId="0" applyNumberFormat="1" applyFont="1" applyFill="1" applyBorder="1" applyAlignment="1" applyProtection="1">
      <alignment horizontal="center" vertical="center"/>
      <protection hidden="1"/>
    </xf>
    <xf numFmtId="1" fontId="10" fillId="36" borderId="10" xfId="0" applyNumberFormat="1" applyFont="1" applyFill="1" applyBorder="1" applyAlignment="1" applyProtection="1">
      <alignment horizontal="left" vertical="center"/>
      <protection hidden="1"/>
    </xf>
    <xf numFmtId="180" fontId="10" fillId="36" borderId="10" xfId="0" applyNumberFormat="1" applyFont="1" applyFill="1" applyBorder="1" applyAlignment="1" applyProtection="1">
      <alignment horizontal="center" vertical="center"/>
      <protection hidden="1"/>
    </xf>
    <xf numFmtId="2" fontId="10" fillId="36" borderId="10" xfId="0" applyNumberFormat="1" applyFont="1" applyFill="1" applyBorder="1" applyAlignment="1" applyProtection="1">
      <alignment horizontal="center" vertical="center"/>
      <protection hidden="1"/>
    </xf>
    <xf numFmtId="1" fontId="10" fillId="36" borderId="10" xfId="0" applyNumberFormat="1" applyFont="1" applyFill="1" applyBorder="1" applyAlignment="1" applyProtection="1">
      <alignment horizontal="left" vertical="center" wrapText="1"/>
      <protection hidden="1"/>
    </xf>
    <xf numFmtId="1" fontId="10" fillId="35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>
      <alignment vertical="center"/>
    </xf>
    <xf numFmtId="1" fontId="16" fillId="36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180" fontId="4" fillId="0" borderId="0" xfId="0" applyNumberFormat="1" applyFont="1" applyAlignment="1">
      <alignment/>
    </xf>
    <xf numFmtId="2" fontId="7" fillId="0" borderId="0" xfId="0" applyNumberFormat="1" applyFont="1" applyFill="1" applyAlignment="1">
      <alignment horizontal="right"/>
    </xf>
    <xf numFmtId="182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4" borderId="0" xfId="0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4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14" fontId="19" fillId="34" borderId="0" xfId="0" applyNumberFormat="1" applyFont="1" applyFill="1" applyAlignment="1">
      <alignment vertical="top"/>
    </xf>
    <xf numFmtId="180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1" fontId="10" fillId="35" borderId="16" xfId="0" applyNumberFormat="1" applyFont="1" applyFill="1" applyBorder="1" applyAlignment="1" applyProtection="1">
      <alignment horizontal="left" vertical="center"/>
      <protection hidden="1"/>
    </xf>
    <xf numFmtId="1" fontId="21" fillId="36" borderId="10" xfId="0" applyNumberFormat="1" applyFont="1" applyFill="1" applyBorder="1" applyAlignment="1" applyProtection="1">
      <alignment horizontal="left" vertical="center" wrapText="1"/>
      <protection hidden="1"/>
    </xf>
    <xf numFmtId="180" fontId="8" fillId="34" borderId="0" xfId="0" applyNumberFormat="1" applyFont="1" applyFill="1" applyBorder="1" applyAlignment="1">
      <alignment horizontal="center" vertical="center"/>
    </xf>
    <xf numFmtId="180" fontId="2" fillId="34" borderId="0" xfId="0" applyNumberFormat="1" applyFon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 applyProtection="1">
      <alignment horizontal="center" vertical="center"/>
      <protection hidden="1"/>
    </xf>
    <xf numFmtId="180" fontId="13" fillId="34" borderId="0" xfId="0" applyNumberFormat="1" applyFont="1" applyFill="1" applyBorder="1" applyAlignment="1" applyProtection="1">
      <alignment horizontal="center" vertical="center"/>
      <protection hidden="1"/>
    </xf>
    <xf numFmtId="1" fontId="10" fillId="35" borderId="17" xfId="0" applyNumberFormat="1" applyFont="1" applyFill="1" applyBorder="1" applyAlignment="1" applyProtection="1">
      <alignment horizontal="left" vertical="center"/>
      <protection hidden="1"/>
    </xf>
    <xf numFmtId="2" fontId="13" fillId="34" borderId="0" xfId="0" applyNumberFormat="1" applyFont="1" applyFill="1" applyBorder="1" applyAlignment="1" applyProtection="1">
      <alignment horizontal="center" vertical="center"/>
      <protection hidden="1"/>
    </xf>
    <xf numFmtId="1" fontId="13" fillId="36" borderId="10" xfId="0" applyNumberFormat="1" applyFont="1" applyFill="1" applyBorder="1" applyAlignment="1" applyProtection="1">
      <alignment horizontal="left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1" fontId="20" fillId="36" borderId="10" xfId="0" applyNumberFormat="1" applyFont="1" applyFill="1" applyBorder="1" applyAlignment="1" applyProtection="1">
      <alignment horizontal="left" vertical="center" wrapText="1"/>
      <protection hidden="1"/>
    </xf>
    <xf numFmtId="1" fontId="20" fillId="36" borderId="10" xfId="0" applyNumberFormat="1" applyFont="1" applyFill="1" applyBorder="1" applyAlignment="1" applyProtection="1">
      <alignment horizontal="center" vertical="center" wrapText="1"/>
      <protection hidden="1"/>
    </xf>
    <xf numFmtId="1" fontId="16" fillId="36" borderId="10" xfId="0" applyNumberFormat="1" applyFont="1" applyFill="1" applyBorder="1" applyAlignment="1" applyProtection="1">
      <alignment horizontal="left" vertical="center" wrapText="1"/>
      <protection hidden="1"/>
    </xf>
    <xf numFmtId="1" fontId="10" fillId="34" borderId="0" xfId="0" applyNumberFormat="1" applyFont="1" applyFill="1" applyBorder="1" applyAlignment="1" applyProtection="1">
      <alignment horizontal="center" vertical="center"/>
      <protection hidden="1"/>
    </xf>
    <xf numFmtId="180" fontId="9" fillId="36" borderId="10" xfId="0" applyNumberFormat="1" applyFont="1" applyFill="1" applyBorder="1" applyAlignment="1" applyProtection="1">
      <alignment horizontal="center" vertical="center"/>
      <protection hidden="1"/>
    </xf>
    <xf numFmtId="14" fontId="19" fillId="34" borderId="0" xfId="0" applyNumberFormat="1" applyFont="1" applyFill="1" applyAlignment="1">
      <alignment/>
    </xf>
    <xf numFmtId="180" fontId="2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36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7" fillId="37" borderId="0" xfId="0" applyFont="1" applyFill="1" applyAlignment="1" quotePrefix="1">
      <alignment horizontal="center" wrapText="1"/>
    </xf>
    <xf numFmtId="0" fontId="27" fillId="37" borderId="0" xfId="0" applyFont="1" applyFill="1" applyAlignment="1">
      <alignment horizontal="center" wrapText="1"/>
    </xf>
    <xf numFmtId="0" fontId="27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27" fillId="37" borderId="0" xfId="0" applyFont="1" applyFill="1" applyAlignment="1" quotePrefix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 quotePrefix="1">
      <alignment horizontal="center" wrapText="1"/>
    </xf>
    <xf numFmtId="0" fontId="27" fillId="0" borderId="0" xfId="0" applyFont="1" applyFill="1" applyAlignment="1">
      <alignment horizontal="center" wrapText="1"/>
    </xf>
    <xf numFmtId="0" fontId="29" fillId="37" borderId="0" xfId="0" applyFont="1" applyFill="1" applyAlignment="1">
      <alignment horizontal="center" wrapText="1"/>
    </xf>
    <xf numFmtId="0" fontId="30" fillId="34" borderId="0" xfId="0" applyFont="1" applyFill="1" applyAlignment="1">
      <alignment/>
    </xf>
    <xf numFmtId="0" fontId="30" fillId="34" borderId="0" xfId="0" applyFont="1" applyFill="1" applyBorder="1" applyAlignment="1">
      <alignment/>
    </xf>
    <xf numFmtId="0" fontId="13" fillId="36" borderId="18" xfId="0" applyFont="1" applyFill="1" applyBorder="1" applyAlignment="1" applyProtection="1">
      <alignment horizontal="left" vertical="center"/>
      <protection locked="0"/>
    </xf>
    <xf numFmtId="0" fontId="13" fillId="35" borderId="18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7" fillId="37" borderId="0" xfId="0" applyFont="1" applyFill="1" applyAlignment="1">
      <alignment wrapText="1"/>
    </xf>
    <xf numFmtId="0" fontId="27" fillId="37" borderId="0" xfId="0" applyFont="1" applyFill="1" applyAlignment="1">
      <alignment/>
    </xf>
    <xf numFmtId="0" fontId="29" fillId="37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27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2" fillId="38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/>
    </xf>
    <xf numFmtId="183" fontId="19" fillId="34" borderId="0" xfId="0" applyNumberFormat="1" applyFont="1" applyFill="1" applyAlignment="1">
      <alignment/>
    </xf>
    <xf numFmtId="0" fontId="47" fillId="37" borderId="0" xfId="0" applyFont="1" applyFill="1" applyAlignment="1">
      <alignment wrapText="1"/>
    </xf>
    <xf numFmtId="17" fontId="47" fillId="0" borderId="0" xfId="0" applyNumberFormat="1" applyFont="1" applyAlignment="1" quotePrefix="1">
      <alignment/>
    </xf>
    <xf numFmtId="0" fontId="44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19" xfId="0" applyFont="1" applyBorder="1" applyAlignment="1">
      <alignment horizontal="center"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36" borderId="0" xfId="0" applyFont="1" applyFill="1" applyAlignment="1">
      <alignment horizontal="left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180" fontId="27" fillId="37" borderId="0" xfId="0" applyNumberFormat="1" applyFont="1" applyFill="1" applyAlignment="1">
      <alignment horizontal="center"/>
    </xf>
    <xf numFmtId="2" fontId="27" fillId="37" borderId="0" xfId="0" applyNumberFormat="1" applyFont="1" applyFill="1" applyAlignment="1" quotePrefix="1">
      <alignment horizontal="center"/>
    </xf>
    <xf numFmtId="180" fontId="27" fillId="37" borderId="0" xfId="0" applyNumberFormat="1" applyFont="1" applyFill="1" applyAlignment="1" quotePrefix="1">
      <alignment horizontal="center"/>
    </xf>
    <xf numFmtId="0" fontId="0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1" fontId="27" fillId="37" borderId="0" xfId="0" applyNumberFormat="1" applyFont="1" applyFill="1" applyAlignment="1" quotePrefix="1">
      <alignment horizontal="center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4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27" fillId="37" borderId="0" xfId="0" applyFont="1" applyFill="1" applyBorder="1" applyAlignment="1">
      <alignment wrapText="1"/>
    </xf>
    <xf numFmtId="0" fontId="29" fillId="0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7" fillId="37" borderId="14" xfId="0" applyFont="1" applyFill="1" applyBorder="1" applyAlignment="1">
      <alignment wrapText="1"/>
    </xf>
    <xf numFmtId="0" fontId="27" fillId="37" borderId="24" xfId="0" applyFont="1" applyFill="1" applyBorder="1" applyAlignment="1">
      <alignment wrapText="1"/>
    </xf>
    <xf numFmtId="0" fontId="27" fillId="0" borderId="25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wrapText="1"/>
    </xf>
    <xf numFmtId="180" fontId="27" fillId="0" borderId="0" xfId="0" applyNumberFormat="1" applyFont="1" applyBorder="1" applyAlignment="1">
      <alignment horizontal="center"/>
    </xf>
    <xf numFmtId="180" fontId="27" fillId="0" borderId="15" xfId="0" applyNumberFormat="1" applyFont="1" applyBorder="1" applyAlignment="1">
      <alignment horizontal="center"/>
    </xf>
    <xf numFmtId="180" fontId="27" fillId="0" borderId="25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/>
    </xf>
    <xf numFmtId="1" fontId="27" fillId="0" borderId="25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0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2" fontId="0" fillId="0" borderId="0" xfId="0" applyNumberFormat="1" applyAlignment="1">
      <alignment horizontal="right"/>
    </xf>
    <xf numFmtId="0" fontId="27" fillId="0" borderId="0" xfId="0" applyFont="1" applyAlignment="1" quotePrefix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27" fillId="36" borderId="0" xfId="0" applyFont="1" applyFill="1" applyAlignment="1">
      <alignment horizontal="center" wrapText="1"/>
    </xf>
    <xf numFmtId="0" fontId="27" fillId="36" borderId="0" xfId="0" applyFont="1" applyFill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47" fillId="37" borderId="0" xfId="0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7" fillId="39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1" fontId="4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80" fontId="44" fillId="0" borderId="0" xfId="0" applyNumberFormat="1" applyFont="1" applyAlignment="1">
      <alignment horizontal="center"/>
    </xf>
    <xf numFmtId="0" fontId="44" fillId="0" borderId="0" xfId="0" applyFont="1" applyFill="1" applyAlignment="1">
      <alignment/>
    </xf>
    <xf numFmtId="0" fontId="8" fillId="38" borderId="0" xfId="0" applyFont="1" applyFill="1" applyAlignment="1">
      <alignment horizontal="right"/>
    </xf>
    <xf numFmtId="2" fontId="8" fillId="38" borderId="0" xfId="0" applyNumberFormat="1" applyFont="1" applyFill="1" applyBorder="1" applyAlignment="1">
      <alignment horizontal="center"/>
    </xf>
    <xf numFmtId="200" fontId="2" fillId="38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horizontal="left"/>
    </xf>
    <xf numFmtId="180" fontId="16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1" fontId="16" fillId="36" borderId="10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>
      <alignment horizontal="center" vertical="center"/>
    </xf>
    <xf numFmtId="1" fontId="16" fillId="36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34" borderId="0" xfId="0" applyFont="1" applyFill="1" applyAlignment="1">
      <alignment/>
    </xf>
    <xf numFmtId="2" fontId="16" fillId="36" borderId="10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 vertical="center"/>
    </xf>
    <xf numFmtId="180" fontId="0" fillId="34" borderId="0" xfId="0" applyNumberFormat="1" applyFill="1" applyAlignment="1">
      <alignment/>
    </xf>
    <xf numFmtId="0" fontId="0" fillId="39" borderId="0" xfId="0" applyFill="1" applyAlignment="1">
      <alignment/>
    </xf>
    <xf numFmtId="2" fontId="27" fillId="37" borderId="0" xfId="0" applyNumberFormat="1" applyFont="1" applyFill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37" borderId="0" xfId="0" applyFont="1" applyFill="1" applyAlignment="1" quotePrefix="1">
      <alignment horizontal="center"/>
    </xf>
    <xf numFmtId="180" fontId="20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1" fontId="10" fillId="35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top"/>
    </xf>
    <xf numFmtId="1" fontId="10" fillId="35" borderId="30" xfId="0" applyNumberFormat="1" applyFont="1" applyFill="1" applyBorder="1" applyAlignment="1" applyProtection="1">
      <alignment horizontal="center" vertical="center"/>
      <protection hidden="1"/>
    </xf>
    <xf numFmtId="1" fontId="10" fillId="35" borderId="27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34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0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13</xdr:col>
      <xdr:colOff>0</xdr:colOff>
      <xdr:row>24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47625"/>
          <a:ext cx="8334375" cy="5429250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23</xdr:col>
      <xdr:colOff>0</xdr:colOff>
      <xdr:row>54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8334375" y="5476875"/>
          <a:ext cx="8886825" cy="5105400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1876425</xdr:colOff>
      <xdr:row>26</xdr:row>
      <xdr:rowOff>161925</xdr:rowOff>
    </xdr:from>
    <xdr:to>
      <xdr:col>21</xdr:col>
      <xdr:colOff>428625</xdr:colOff>
      <xdr:row>29</xdr:row>
      <xdr:rowOff>66675</xdr:rowOff>
    </xdr:to>
    <xdr:sp>
      <xdr:nvSpPr>
        <xdr:cNvPr id="3" name="WordArt 13"/>
        <xdr:cNvSpPr>
          <a:spLocks/>
        </xdr:cNvSpPr>
      </xdr:nvSpPr>
      <xdr:spPr>
        <a:xfrm rot="21329348">
          <a:off x="14839950" y="5762625"/>
          <a:ext cx="2209800" cy="64770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2800" kern="10" spc="-28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CC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Ennus-Teräs</a:t>
          </a:r>
        </a:p>
      </xdr:txBody>
    </xdr:sp>
    <xdr:clientData/>
  </xdr:twoCellAnchor>
  <xdr:twoCellAnchor>
    <xdr:from>
      <xdr:col>1</xdr:col>
      <xdr:colOff>676275</xdr:colOff>
      <xdr:row>1</xdr:row>
      <xdr:rowOff>19050</xdr:rowOff>
    </xdr:from>
    <xdr:to>
      <xdr:col>10</xdr:col>
      <xdr:colOff>123825</xdr:colOff>
      <xdr:row>2</xdr:row>
      <xdr:rowOff>171450</xdr:rowOff>
    </xdr:to>
    <xdr:sp>
      <xdr:nvSpPr>
        <xdr:cNvPr id="4" name="Rectangle 14"/>
        <xdr:cNvSpPr>
          <a:spLocks/>
        </xdr:cNvSpPr>
      </xdr:nvSpPr>
      <xdr:spPr>
        <a:xfrm>
          <a:off x="885825" y="228600"/>
          <a:ext cx="6657975" cy="361950"/>
        </a:xfrm>
        <a:prstGeom prst="rect">
          <a:avLst/>
        </a:prstGeom>
        <a:solidFill>
          <a:srgbClr val="33CC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Teräsrakenteiden käyttöikämitoitus kerroinmenetelmällä</a:t>
          </a:r>
        </a:p>
      </xdr:txBody>
    </xdr:sp>
    <xdr:clientData/>
  </xdr:twoCellAnchor>
  <xdr:twoCellAnchor>
    <xdr:from>
      <xdr:col>5</xdr:col>
      <xdr:colOff>1685925</xdr:colOff>
      <xdr:row>3</xdr:row>
      <xdr:rowOff>104775</xdr:rowOff>
    </xdr:from>
    <xdr:to>
      <xdr:col>9</xdr:col>
      <xdr:colOff>142875</xdr:colOff>
      <xdr:row>5</xdr:row>
      <xdr:rowOff>257175</xdr:rowOff>
    </xdr:to>
    <xdr:sp>
      <xdr:nvSpPr>
        <xdr:cNvPr id="5" name="WordArt 15"/>
        <xdr:cNvSpPr>
          <a:spLocks/>
        </xdr:cNvSpPr>
      </xdr:nvSpPr>
      <xdr:spPr>
        <a:xfrm rot="21329348">
          <a:off x="5076825" y="866775"/>
          <a:ext cx="2209800" cy="857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2800" kern="10" spc="-28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CC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Ennus-Teräs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85725</xdr:rowOff>
    </xdr:from>
    <xdr:to>
      <xdr:col>14</xdr:col>
      <xdr:colOff>247650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57200" y="400050"/>
          <a:ext cx="7467600" cy="304800"/>
        </a:xfrm>
        <a:prstGeom prst="rect">
          <a:avLst/>
        </a:prstGeom>
        <a:solidFill>
          <a:srgbClr val="33CC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Teräskenteiden käyttöikämitoitus kerroinmenetelmällä</a:t>
          </a:r>
        </a:p>
      </xdr:txBody>
    </xdr:sp>
    <xdr:clientData/>
  </xdr:twoCellAnchor>
  <xdr:twoCellAnchor>
    <xdr:from>
      <xdr:col>8</xdr:col>
      <xdr:colOff>590550</xdr:colOff>
      <xdr:row>5</xdr:row>
      <xdr:rowOff>57150</xdr:rowOff>
    </xdr:from>
    <xdr:to>
      <xdr:col>12</xdr:col>
      <xdr:colOff>685800</xdr:colOff>
      <xdr:row>6</xdr:row>
      <xdr:rowOff>238125</xdr:rowOff>
    </xdr:to>
    <xdr:sp>
      <xdr:nvSpPr>
        <xdr:cNvPr id="2" name="WordArt 2"/>
        <xdr:cNvSpPr>
          <a:spLocks/>
        </xdr:cNvSpPr>
      </xdr:nvSpPr>
      <xdr:spPr>
        <a:xfrm rot="21185441">
          <a:off x="5534025" y="1219200"/>
          <a:ext cx="1943100" cy="53340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2800" kern="10" spc="-28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CC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ENNUS-Teräs</a:t>
          </a:r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16</xdr:col>
      <xdr:colOff>19050</xdr:colOff>
      <xdr:row>26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295275" y="190500"/>
          <a:ext cx="7810500" cy="5343525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15</xdr:row>
      <xdr:rowOff>9525</xdr:rowOff>
    </xdr:from>
    <xdr:to>
      <xdr:col>7</xdr:col>
      <xdr:colOff>0</xdr:colOff>
      <xdr:row>16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495675"/>
          <a:ext cx="27051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17</xdr:row>
      <xdr:rowOff>0</xdr:rowOff>
    </xdr:from>
    <xdr:to>
      <xdr:col>7</xdr:col>
      <xdr:colOff>19050</xdr:colOff>
      <xdr:row>18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3857625"/>
          <a:ext cx="2714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9525</xdr:colOff>
      <xdr:row>20</xdr:row>
      <xdr:rowOff>19050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4229100"/>
          <a:ext cx="2714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9525</xdr:colOff>
      <xdr:row>22</xdr:row>
      <xdr:rowOff>38100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4562475"/>
          <a:ext cx="2714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85725</xdr:rowOff>
    </xdr:from>
    <xdr:to>
      <xdr:col>7</xdr:col>
      <xdr:colOff>9525</xdr:colOff>
      <xdr:row>24</xdr:row>
      <xdr:rowOff>19050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4905375"/>
          <a:ext cx="2714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19</xdr:row>
      <xdr:rowOff>104775</xdr:rowOff>
    </xdr:from>
    <xdr:to>
      <xdr:col>12</xdr:col>
      <xdr:colOff>657225</xdr:colOff>
      <xdr:row>21</xdr:row>
      <xdr:rowOff>85725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96075" y="433387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21</xdr:row>
      <xdr:rowOff>200025</xdr:rowOff>
    </xdr:from>
    <xdr:to>
      <xdr:col>14</xdr:col>
      <xdr:colOff>133350</xdr:colOff>
      <xdr:row>23</xdr:row>
      <xdr:rowOff>190500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38900" y="4762500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257175</xdr:rowOff>
    </xdr:from>
    <xdr:to>
      <xdr:col>4</xdr:col>
      <xdr:colOff>142875</xdr:colOff>
      <xdr:row>6</xdr:row>
      <xdr:rowOff>409575</xdr:rowOff>
    </xdr:to>
    <xdr:sp>
      <xdr:nvSpPr>
        <xdr:cNvPr id="1" name="WordArt 1"/>
        <xdr:cNvSpPr>
          <a:spLocks/>
        </xdr:cNvSpPr>
      </xdr:nvSpPr>
      <xdr:spPr>
        <a:xfrm rot="21329348">
          <a:off x="228600" y="1724025"/>
          <a:ext cx="2333625" cy="60960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2800" kern="10" spc="-28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CC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Ennus-Teräs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13</xdr:col>
      <xdr:colOff>0</xdr:colOff>
      <xdr:row>24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625"/>
          <a:ext cx="8791575" cy="5800725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23</xdr:col>
      <xdr:colOff>0</xdr:colOff>
      <xdr:row>54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791575" y="5848350"/>
          <a:ext cx="8534400" cy="5734050"/>
        </a:xfrm>
        <a:prstGeom prst="rect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1647825</xdr:colOff>
      <xdr:row>26</xdr:row>
      <xdr:rowOff>152400</xdr:rowOff>
    </xdr:from>
    <xdr:to>
      <xdr:col>21</xdr:col>
      <xdr:colOff>123825</xdr:colOff>
      <xdr:row>29</xdr:row>
      <xdr:rowOff>57150</xdr:rowOff>
    </xdr:to>
    <xdr:sp>
      <xdr:nvSpPr>
        <xdr:cNvPr id="4" name="WordArt 4"/>
        <xdr:cNvSpPr>
          <a:spLocks/>
        </xdr:cNvSpPr>
      </xdr:nvSpPr>
      <xdr:spPr>
        <a:xfrm rot="21329348">
          <a:off x="14754225" y="6124575"/>
          <a:ext cx="2390775" cy="857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2800" kern="10" spc="-28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CC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Ennus-Teräs</a:t>
          </a:r>
        </a:p>
      </xdr:txBody>
    </xdr:sp>
    <xdr:clientData/>
  </xdr:twoCellAnchor>
  <xdr:twoCellAnchor>
    <xdr:from>
      <xdr:col>1</xdr:col>
      <xdr:colOff>676275</xdr:colOff>
      <xdr:row>1</xdr:row>
      <xdr:rowOff>19050</xdr:rowOff>
    </xdr:from>
    <xdr:to>
      <xdr:col>10</xdr:col>
      <xdr:colOff>123825</xdr:colOff>
      <xdr:row>2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885825" y="228600"/>
          <a:ext cx="6657975" cy="361950"/>
        </a:xfrm>
        <a:prstGeom prst="rect">
          <a:avLst/>
        </a:prstGeom>
        <a:solidFill>
          <a:srgbClr val="33CCCC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Teräsrakenteiden käyttöikämitoitus kerroinmenetelmällä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W54"/>
  <sheetViews>
    <sheetView zoomScalePageLayoutView="0" workbookViewId="0" topLeftCell="H14">
      <selection activeCell="H49" sqref="H49"/>
    </sheetView>
  </sheetViews>
  <sheetFormatPr defaultColWidth="9.140625" defaultRowHeight="12.75"/>
  <cols>
    <col min="1" max="1" width="3.140625" style="31" customWidth="1"/>
    <col min="2" max="2" width="16.00390625" style="31" customWidth="1"/>
    <col min="3" max="3" width="4.8515625" style="31" customWidth="1"/>
    <col min="4" max="4" width="12.28125" style="41" customWidth="1"/>
    <col min="5" max="5" width="14.57421875" style="31" customWidth="1"/>
    <col min="6" max="6" width="36.8515625" style="31" customWidth="1"/>
    <col min="7" max="7" width="3.57421875" style="31" customWidth="1"/>
    <col min="8" max="8" width="12.140625" style="31" customWidth="1"/>
    <col min="9" max="9" width="3.7109375" style="31" customWidth="1"/>
    <col min="10" max="10" width="4.140625" style="31" customWidth="1"/>
    <col min="11" max="11" width="1.8515625" style="31" customWidth="1"/>
    <col min="12" max="12" width="10.421875" style="31" customWidth="1"/>
    <col min="13" max="13" width="1.421875" style="31" customWidth="1"/>
    <col min="14" max="14" width="1.7109375" style="31" customWidth="1"/>
    <col min="15" max="15" width="31.140625" style="31" customWidth="1"/>
    <col min="16" max="16" width="2.57421875" style="31" customWidth="1"/>
    <col min="17" max="17" width="28.00390625" style="307" customWidth="1"/>
    <col min="18" max="18" width="6.00390625" style="31" customWidth="1"/>
    <col min="19" max="19" width="36.8515625" style="31" customWidth="1"/>
    <col min="20" max="20" width="3.421875" style="31" customWidth="1"/>
    <col min="21" max="21" width="14.57421875" style="31" customWidth="1"/>
    <col min="22" max="22" width="7.57421875" style="31" customWidth="1"/>
    <col min="23" max="23" width="1.421875" style="31" customWidth="1"/>
    <col min="24" max="24" width="3.28125" style="31" customWidth="1"/>
    <col min="25" max="16384" width="9.140625" style="31" customWidth="1"/>
  </cols>
  <sheetData>
    <row r="1" spans="1:17" ht="16.5" customHeight="1">
      <c r="A1" s="32"/>
      <c r="B1" s="32"/>
      <c r="C1" s="32"/>
      <c r="D1" s="44"/>
      <c r="E1" s="32"/>
      <c r="F1" s="32"/>
      <c r="G1" s="32"/>
      <c r="H1" s="32"/>
      <c r="I1" s="32"/>
      <c r="Q1" s="302"/>
    </row>
    <row r="2" spans="1:17" ht="16.5" customHeight="1">
      <c r="A2" s="32"/>
      <c r="B2" s="32"/>
      <c r="C2" s="32"/>
      <c r="D2" s="44"/>
      <c r="E2" s="32"/>
      <c r="F2" s="32"/>
      <c r="G2" s="32"/>
      <c r="H2" s="32"/>
      <c r="I2" s="32"/>
      <c r="Q2" s="302"/>
    </row>
    <row r="3" spans="1:17" ht="27" customHeight="1" thickBot="1">
      <c r="A3" s="32"/>
      <c r="B3" s="32"/>
      <c r="C3" s="32"/>
      <c r="D3" s="44"/>
      <c r="E3" s="32"/>
      <c r="F3" s="32"/>
      <c r="G3" s="32"/>
      <c r="H3" s="32"/>
      <c r="I3" s="32"/>
      <c r="Q3" s="302"/>
    </row>
    <row r="4" spans="1:17" ht="27.75" customHeight="1" thickBot="1">
      <c r="A4" s="32"/>
      <c r="B4" s="104" t="s">
        <v>27</v>
      </c>
      <c r="C4" s="323" t="str">
        <f>IF(Varmuustaso=1,"95 %",IF(Varmuustaso=2,"90 %",IF(Varmuustaso=3,"80 %",IF(Varmuustaso=4,"50 %","keskiarvo"))))</f>
        <v>95 %</v>
      </c>
      <c r="D4" s="324"/>
      <c r="E4" s="32"/>
      <c r="F4" s="32"/>
      <c r="G4" s="32"/>
      <c r="O4" s="138"/>
      <c r="Q4" s="302"/>
    </row>
    <row r="5" spans="1:17" ht="27.75" customHeight="1" thickBot="1">
      <c r="A5" s="32"/>
      <c r="B5" s="95" t="s">
        <v>28</v>
      </c>
      <c r="C5" s="327" t="str">
        <f>IF(Rakenne=1,"Tuuletettu julksivu",IF(Rakenne=2,"Sandwich elementti",IF(Rakenne=3,"Kaksoiskuorijulkisivu",IF(Rakenne=4,"Ohutlevykatteet","Runkorakenteet"))))</f>
        <v>Runkorakenteet</v>
      </c>
      <c r="D5" s="327"/>
      <c r="E5" s="328"/>
      <c r="F5" s="33"/>
      <c r="G5" s="32"/>
      <c r="H5" s="34"/>
      <c r="I5" s="32"/>
      <c r="J5" s="32"/>
      <c r="K5" s="32"/>
      <c r="L5" s="32"/>
      <c r="Q5" s="302"/>
    </row>
    <row r="6" spans="1:17" ht="36" customHeight="1">
      <c r="A6" s="32"/>
      <c r="B6" s="330" t="str">
        <f>Tulos!C6</f>
        <v>Tänne kirjoitetaan  tarkastettavan kohteen tunnus</v>
      </c>
      <c r="C6" s="330"/>
      <c r="D6" s="330"/>
      <c r="E6" s="330"/>
      <c r="F6" s="330"/>
      <c r="G6" s="32"/>
      <c r="H6" s="101"/>
      <c r="I6" s="32"/>
      <c r="J6" s="101"/>
      <c r="K6" s="32"/>
      <c r="L6" s="101"/>
      <c r="Q6" s="302"/>
    </row>
    <row r="7" spans="1:17" ht="36" customHeight="1">
      <c r="A7" s="32"/>
      <c r="B7" s="32"/>
      <c r="C7" s="32"/>
      <c r="D7" s="44"/>
      <c r="E7" s="32"/>
      <c r="F7" s="33"/>
      <c r="G7" s="32"/>
      <c r="H7" s="101"/>
      <c r="I7" s="32"/>
      <c r="J7" s="101"/>
      <c r="K7" s="32"/>
      <c r="L7" s="101"/>
      <c r="Q7" s="302"/>
    </row>
    <row r="8" spans="1:17" ht="8.25" customHeight="1" thickBot="1">
      <c r="A8" s="32"/>
      <c r="B8" s="32"/>
      <c r="C8" s="32"/>
      <c r="D8" s="44"/>
      <c r="E8" s="32"/>
      <c r="F8" s="33"/>
      <c r="G8" s="32"/>
      <c r="H8" s="45"/>
      <c r="I8" s="32"/>
      <c r="J8" s="45"/>
      <c r="K8" s="32"/>
      <c r="L8" s="45"/>
      <c r="Q8" s="302"/>
    </row>
    <row r="9" spans="1:17" ht="21.75" customHeight="1" thickBot="1">
      <c r="A9" s="32"/>
      <c r="B9" s="32"/>
      <c r="C9" s="32"/>
      <c r="D9" s="44"/>
      <c r="E9" s="32"/>
      <c r="F9" s="106" t="s">
        <v>14</v>
      </c>
      <c r="G9" s="32"/>
      <c r="H9" s="115">
        <f>ESLC</f>
        <v>38.25</v>
      </c>
      <c r="I9" s="40" t="s">
        <v>0</v>
      </c>
      <c r="J9" s="102"/>
      <c r="K9" s="32"/>
      <c r="L9" s="102"/>
      <c r="Q9" s="302"/>
    </row>
    <row r="10" spans="1:17" ht="8.25" customHeight="1">
      <c r="A10" s="32"/>
      <c r="B10" s="32"/>
      <c r="C10" s="32"/>
      <c r="D10" s="44"/>
      <c r="E10" s="32"/>
      <c r="F10" s="43"/>
      <c r="G10" s="32"/>
      <c r="H10" s="34"/>
      <c r="I10" s="32"/>
      <c r="J10" s="32"/>
      <c r="K10" s="32"/>
      <c r="L10" s="32"/>
      <c r="Q10" s="302"/>
    </row>
    <row r="11" spans="1:17" ht="13.5" customHeight="1" thickBot="1">
      <c r="A11" s="32"/>
      <c r="B11" s="32"/>
      <c r="C11" s="32"/>
      <c r="D11" s="44"/>
      <c r="E11" s="32"/>
      <c r="F11" s="44"/>
      <c r="G11" s="32"/>
      <c r="H11" s="34"/>
      <c r="I11" s="32"/>
      <c r="J11" s="32"/>
      <c r="K11" s="32"/>
      <c r="L11" s="32"/>
      <c r="Q11" s="302"/>
    </row>
    <row r="12" spans="1:17" s="52" customFormat="1" ht="21.75" customHeight="1" thickBot="1">
      <c r="A12" s="49"/>
      <c r="B12" s="49"/>
      <c r="C12" s="49"/>
      <c r="D12" s="50" t="s">
        <v>16</v>
      </c>
      <c r="E12" s="49"/>
      <c r="F12" s="60" t="s">
        <v>9</v>
      </c>
      <c r="G12" s="49"/>
      <c r="H12" s="42">
        <f>Tulos!I14</f>
        <v>100</v>
      </c>
      <c r="I12" s="51"/>
      <c r="J12" s="102"/>
      <c r="K12" s="49"/>
      <c r="L12" s="102"/>
      <c r="Q12" s="303"/>
    </row>
    <row r="13" spans="1:17" s="52" customFormat="1" ht="7.5" customHeight="1" thickBot="1">
      <c r="A13" s="49"/>
      <c r="B13" s="49"/>
      <c r="C13" s="49"/>
      <c r="D13" s="53"/>
      <c r="E13" s="49"/>
      <c r="F13" s="54"/>
      <c r="G13" s="49"/>
      <c r="H13" s="36"/>
      <c r="I13" s="49"/>
      <c r="J13" s="36"/>
      <c r="K13" s="49"/>
      <c r="L13" s="36"/>
      <c r="Q13" s="303"/>
    </row>
    <row r="14" spans="1:17" s="52" customFormat="1" ht="21.75" customHeight="1" thickBot="1">
      <c r="A14" s="49"/>
      <c r="B14" s="49"/>
      <c r="C14" s="49"/>
      <c r="D14" s="50" t="s">
        <v>17</v>
      </c>
      <c r="E14" s="49"/>
      <c r="F14" s="50" t="s">
        <v>20</v>
      </c>
      <c r="G14" s="49"/>
      <c r="H14" s="58">
        <f>KerroinA</f>
        <v>0.5</v>
      </c>
      <c r="I14" s="49"/>
      <c r="J14" s="105"/>
      <c r="K14" s="49"/>
      <c r="L14" s="105"/>
      <c r="Q14" s="303"/>
    </row>
    <row r="15" spans="1:17" s="52" customFormat="1" ht="7.5" customHeight="1" thickBot="1">
      <c r="A15" s="49"/>
      <c r="B15" s="49"/>
      <c r="C15" s="49"/>
      <c r="D15" s="53"/>
      <c r="E15" s="49"/>
      <c r="F15" s="54"/>
      <c r="G15" s="49"/>
      <c r="H15" s="36"/>
      <c r="I15" s="49"/>
      <c r="J15" s="36"/>
      <c r="K15" s="49"/>
      <c r="L15" s="36"/>
      <c r="Q15" s="303"/>
    </row>
    <row r="16" spans="1:17" s="52" customFormat="1" ht="21.75" customHeight="1" thickBot="1">
      <c r="A16" s="49"/>
      <c r="B16" s="49"/>
      <c r="C16" s="49"/>
      <c r="D16" s="50" t="s">
        <v>11</v>
      </c>
      <c r="E16" s="49"/>
      <c r="F16" s="50" t="s">
        <v>21</v>
      </c>
      <c r="G16" s="49"/>
      <c r="H16" s="58">
        <f>KerroinB</f>
        <v>0.765</v>
      </c>
      <c r="I16" s="49"/>
      <c r="J16" s="103"/>
      <c r="K16" s="49"/>
      <c r="L16" s="103"/>
      <c r="Q16" s="303"/>
    </row>
    <row r="17" spans="1:17" s="52" customFormat="1" ht="7.5" customHeight="1" thickBot="1">
      <c r="A17" s="49"/>
      <c r="B17" s="49"/>
      <c r="C17" s="49"/>
      <c r="D17" s="53"/>
      <c r="E17" s="49"/>
      <c r="F17" s="49"/>
      <c r="G17" s="49"/>
      <c r="H17" s="36"/>
      <c r="I17" s="49"/>
      <c r="J17" s="36"/>
      <c r="K17" s="49"/>
      <c r="L17" s="36"/>
      <c r="Q17" s="303"/>
    </row>
    <row r="18" spans="1:17" s="52" customFormat="1" ht="21.75" customHeight="1" thickBot="1">
      <c r="A18" s="49"/>
      <c r="B18" s="49"/>
      <c r="C18" s="49"/>
      <c r="D18" s="50" t="s">
        <v>12</v>
      </c>
      <c r="E18" s="49"/>
      <c r="F18" s="50" t="s">
        <v>22</v>
      </c>
      <c r="G18" s="49"/>
      <c r="H18" s="58">
        <f>KerroinC</f>
        <v>1</v>
      </c>
      <c r="I18" s="49"/>
      <c r="J18" s="105"/>
      <c r="K18" s="49"/>
      <c r="L18" s="105"/>
      <c r="Q18" s="303"/>
    </row>
    <row r="19" spans="1:17" s="52" customFormat="1" ht="7.5" customHeight="1" thickBot="1">
      <c r="A19" s="49"/>
      <c r="B19" s="49"/>
      <c r="C19" s="49"/>
      <c r="D19" s="53"/>
      <c r="E19" s="49"/>
      <c r="F19" s="49"/>
      <c r="G19" s="49"/>
      <c r="H19" s="36"/>
      <c r="I19" s="49"/>
      <c r="J19" s="36"/>
      <c r="K19" s="49"/>
      <c r="L19" s="36"/>
      <c r="Q19" s="303"/>
    </row>
    <row r="20" spans="1:17" s="52" customFormat="1" ht="21.75" customHeight="1" thickBot="1">
      <c r="A20" s="49"/>
      <c r="C20" s="55"/>
      <c r="D20" s="50" t="s">
        <v>306</v>
      </c>
      <c r="E20" s="49"/>
      <c r="F20" s="50" t="s">
        <v>23</v>
      </c>
      <c r="G20" s="49"/>
      <c r="H20" s="58">
        <f>KerroinD</f>
        <v>1</v>
      </c>
      <c r="I20" s="49"/>
      <c r="J20" s="103"/>
      <c r="K20" s="49"/>
      <c r="L20" s="103"/>
      <c r="Q20" s="303"/>
    </row>
    <row r="21" spans="1:17" s="52" customFormat="1" ht="7.5" customHeight="1" thickBot="1">
      <c r="A21" s="49"/>
      <c r="B21" s="49"/>
      <c r="C21" s="49"/>
      <c r="D21" s="53"/>
      <c r="E21" s="49"/>
      <c r="F21" s="49"/>
      <c r="G21" s="49"/>
      <c r="H21" s="36"/>
      <c r="I21" s="56"/>
      <c r="J21" s="36"/>
      <c r="K21" s="49"/>
      <c r="L21" s="36"/>
      <c r="Q21" s="303"/>
    </row>
    <row r="22" spans="1:17" s="52" customFormat="1" ht="21.75" customHeight="1" thickBot="1">
      <c r="A22" s="49"/>
      <c r="C22" s="55"/>
      <c r="D22" s="50" t="s">
        <v>13</v>
      </c>
      <c r="E22" s="49"/>
      <c r="F22" s="50" t="s">
        <v>24</v>
      </c>
      <c r="G22" s="49"/>
      <c r="H22" s="58">
        <f>KerroinG</f>
        <v>1</v>
      </c>
      <c r="I22" s="56"/>
      <c r="J22" s="105"/>
      <c r="K22" s="49"/>
      <c r="L22" s="105"/>
      <c r="Q22" s="303"/>
    </row>
    <row r="23" spans="1:17" ht="7.5" customHeight="1">
      <c r="A23" s="32"/>
      <c r="B23" s="32"/>
      <c r="C23" s="37"/>
      <c r="D23" s="47"/>
      <c r="E23" s="32"/>
      <c r="F23" s="35"/>
      <c r="G23" s="32"/>
      <c r="H23" s="36"/>
      <c r="I23" s="38"/>
      <c r="J23" s="36"/>
      <c r="L23" s="36"/>
      <c r="Q23" s="302"/>
    </row>
    <row r="24" spans="1:17" s="91" customFormat="1" ht="16.5" customHeight="1">
      <c r="A24" s="88"/>
      <c r="B24" s="89"/>
      <c r="C24" s="90"/>
      <c r="D24" s="326" t="s">
        <v>558</v>
      </c>
      <c r="E24" s="326"/>
      <c r="F24" s="326"/>
      <c r="G24" s="88"/>
      <c r="H24" s="88"/>
      <c r="I24" s="88"/>
      <c r="L24" s="92">
        <f ca="1">TODAY()</f>
        <v>41180</v>
      </c>
      <c r="Q24" s="304"/>
    </row>
    <row r="25" spans="14:20" ht="9.75" customHeight="1" thickBot="1">
      <c r="N25" s="32"/>
      <c r="Q25" s="302"/>
      <c r="S25" s="32"/>
      <c r="T25" s="32"/>
    </row>
    <row r="26" spans="14:22" ht="7.5" customHeight="1" hidden="1" thickBot="1">
      <c r="N26" s="32"/>
      <c r="Q26" s="302"/>
      <c r="V26" s="32"/>
    </row>
    <row r="27" spans="14:18" ht="18.75" customHeight="1" thickBot="1">
      <c r="N27" s="32"/>
      <c r="O27" s="62" t="s">
        <v>26</v>
      </c>
      <c r="Q27" s="306">
        <f>ESLC</f>
        <v>38.25</v>
      </c>
      <c r="R27" s="40" t="s">
        <v>0</v>
      </c>
    </row>
    <row r="28" spans="14:22" ht="7.5" customHeight="1" thickBot="1">
      <c r="N28" s="32"/>
      <c r="V28" s="32"/>
    </row>
    <row r="29" spans="14:22" ht="32.25" customHeight="1" thickBot="1">
      <c r="N29" s="32"/>
      <c r="O29" s="66" t="s">
        <v>25</v>
      </c>
      <c r="Q29" s="329" t="str">
        <f>Tulos!C6</f>
        <v>Tänne kirjoitetaan  tarkastettavan kohteen tunnus</v>
      </c>
      <c r="R29" s="329"/>
      <c r="S29" s="329"/>
      <c r="T29" s="32"/>
      <c r="V29" s="32"/>
    </row>
    <row r="30" spans="14:22" ht="8.25" customHeight="1" thickBot="1">
      <c r="N30" s="32"/>
      <c r="T30" s="32"/>
      <c r="V30" s="32"/>
    </row>
    <row r="31" spans="14:23" ht="18.75" customHeight="1" thickBot="1">
      <c r="N31" s="49"/>
      <c r="O31" s="50" t="s">
        <v>20</v>
      </c>
      <c r="P31" s="32"/>
      <c r="R31" s="32"/>
      <c r="W31" s="52"/>
    </row>
    <row r="32" spans="14:23" ht="7.5" customHeight="1" thickBot="1">
      <c r="N32" s="49"/>
      <c r="P32" s="32"/>
      <c r="Q32" s="308"/>
      <c r="R32" s="32"/>
      <c r="W32" s="52"/>
    </row>
    <row r="33" spans="14:23" ht="18.75" customHeight="1" thickBot="1">
      <c r="N33" s="49"/>
      <c r="O33" s="62" t="s">
        <v>31</v>
      </c>
      <c r="P33" s="49"/>
      <c r="Q33" s="309" t="str">
        <f>IF(Rasitusluokka=1,"C2",IF(Rasitusluokka=2,"C3",IF(Rasitusluokka=3,"C4","C5")))</f>
        <v>C2</v>
      </c>
      <c r="R33" s="49"/>
      <c r="S33" s="50" t="s">
        <v>54</v>
      </c>
      <c r="V33" s="51"/>
      <c r="W33" s="52"/>
    </row>
    <row r="34" spans="14:23" ht="7.5" customHeight="1" thickBot="1">
      <c r="N34" s="49"/>
      <c r="O34" s="49"/>
      <c r="P34" s="49"/>
      <c r="Q34" s="310"/>
      <c r="R34" s="49"/>
      <c r="V34" s="49"/>
      <c r="W34" s="52"/>
    </row>
    <row r="35" spans="8:23" ht="29.25" customHeight="1" thickBot="1">
      <c r="H35" s="204"/>
      <c r="N35" s="49"/>
      <c r="O35" s="62" t="s">
        <v>80</v>
      </c>
      <c r="P35" s="49"/>
      <c r="Q35" s="311" t="str">
        <f>Laskenta!D16</f>
        <v>Ferriittinen ruostumaton teräs EN 1.4509</v>
      </c>
      <c r="R35" s="67"/>
      <c r="S35" s="62" t="s">
        <v>36</v>
      </c>
      <c r="T35" s="49"/>
      <c r="U35" s="68"/>
      <c r="V35" s="49"/>
      <c r="W35" s="52"/>
    </row>
    <row r="36" spans="14:23" ht="7.5" customHeight="1" thickBot="1">
      <c r="N36" s="49"/>
      <c r="O36" s="49"/>
      <c r="P36" s="49"/>
      <c r="Q36" s="310"/>
      <c r="R36" s="67"/>
      <c r="T36" s="32"/>
      <c r="V36" s="49"/>
      <c r="W36" s="52"/>
    </row>
    <row r="37" spans="8:23" ht="18.75" customHeight="1" thickBot="1">
      <c r="H37" s="119"/>
      <c r="N37" s="49"/>
      <c r="O37" s="62" t="s">
        <v>301</v>
      </c>
      <c r="P37" s="49"/>
      <c r="Q37" s="306" t="str">
        <f>IF(OnkoRuostumaton="R"," ",IF(PinnoiteVari=1,"Ei määritetty",IF(PinnoiteVari=2,"Musta",IF(PinnoiteVari=3,"Harmaa","Valkoinen"))))</f>
        <v> </v>
      </c>
      <c r="R37" s="67"/>
      <c r="S37" s="62" t="s">
        <v>37</v>
      </c>
      <c r="T37" s="49"/>
      <c r="U37" s="68"/>
      <c r="V37" s="49"/>
      <c r="W37" s="52"/>
    </row>
    <row r="38" spans="14:23" ht="7.5" customHeight="1" thickBot="1">
      <c r="N38" s="49"/>
      <c r="O38" s="49"/>
      <c r="P38" s="49"/>
      <c r="Q38" s="310"/>
      <c r="R38" s="67"/>
      <c r="T38" s="32"/>
      <c r="U38" s="34"/>
      <c r="V38" s="49"/>
      <c r="W38" s="52"/>
    </row>
    <row r="39" spans="14:23" ht="18.75" customHeight="1" thickBot="1">
      <c r="N39" s="49"/>
      <c r="O39" s="62" t="s">
        <v>560</v>
      </c>
      <c r="P39" s="55"/>
      <c r="Q39" s="306" t="str">
        <f>IF(OnkoRuostumaton="M"," ",IF(OnkoRuostumaton="P",0,IF(Pinnan_laatu=1,"2R",IF(Pinnan_laatu=2,"2B",IF(Pinnan_laatu=3,"2k",IF(Pinnan_laatu=4,"2J","2G"))))))</f>
        <v>2R</v>
      </c>
      <c r="R39" s="67"/>
      <c r="S39" s="65" t="s">
        <v>55</v>
      </c>
      <c r="U39" s="61"/>
      <c r="V39" s="38"/>
      <c r="W39" s="52"/>
    </row>
    <row r="40" spans="14:23" ht="7.5" customHeight="1" thickBot="1">
      <c r="N40" s="49"/>
      <c r="O40" s="49"/>
      <c r="P40" s="49"/>
      <c r="Q40" s="310"/>
      <c r="R40" s="49"/>
      <c r="W40" s="52"/>
    </row>
    <row r="41" spans="14:23" ht="16.5" thickBot="1">
      <c r="N41" s="49"/>
      <c r="O41" s="62" t="s">
        <v>559</v>
      </c>
      <c r="P41" s="55"/>
      <c r="Q41" s="306" t="str">
        <f>IF(OnkoRuostumaton="M"," ",IF(OnkoRuostumaton="P"," ",IF(Korroosio_olosuhteet=1,"Alhainen",IF(Korroosio_olosuhteet=2,"Keskimääräinen",IF(Korroosio_olosuhteet=3,"Korkea")))))</f>
        <v>Keskimääräinen</v>
      </c>
      <c r="R41" s="49"/>
      <c r="S41" s="50" t="s">
        <v>56</v>
      </c>
      <c r="T41" s="32"/>
      <c r="U41" s="107"/>
      <c r="V41" s="49"/>
      <c r="W41" s="52"/>
    </row>
    <row r="42" spans="14:22" ht="7.5" customHeight="1" thickBot="1">
      <c r="N42" s="32"/>
      <c r="Q42" s="312"/>
      <c r="S42" s="54"/>
      <c r="T42" s="49"/>
      <c r="U42" s="36"/>
      <c r="V42" s="49"/>
    </row>
    <row r="43" spans="14:22" ht="18.75" customHeight="1" thickBot="1">
      <c r="N43" s="32"/>
      <c r="O43" s="50" t="s">
        <v>21</v>
      </c>
      <c r="Q43" s="312"/>
      <c r="S43" s="96" t="s">
        <v>38</v>
      </c>
      <c r="T43" s="49"/>
      <c r="U43" s="321"/>
      <c r="V43" s="322"/>
    </row>
    <row r="44" spans="14:22" ht="7.5" customHeight="1" thickBot="1">
      <c r="N44" s="32"/>
      <c r="Q44" s="312"/>
      <c r="S44" s="54"/>
      <c r="T44" s="49"/>
      <c r="U44" s="36"/>
      <c r="V44" s="56"/>
    </row>
    <row r="45" spans="14:22" ht="18.75" customHeight="1" thickBot="1">
      <c r="N45" s="32"/>
      <c r="O45" s="62" t="s">
        <v>53</v>
      </c>
      <c r="Q45" s="313"/>
      <c r="S45" s="50" t="s">
        <v>24</v>
      </c>
      <c r="T45" s="32"/>
      <c r="U45" s="36"/>
      <c r="V45" s="108"/>
    </row>
    <row r="46" spans="14:22" ht="7.5" customHeight="1" thickBot="1">
      <c r="N46" s="32"/>
      <c r="S46" s="35"/>
      <c r="T46" s="32"/>
      <c r="U46" s="36"/>
      <c r="V46" s="38"/>
    </row>
    <row r="47" spans="14:22" ht="18.75" customHeight="1" thickBot="1">
      <c r="N47" s="32"/>
      <c r="O47" s="62" t="s">
        <v>32</v>
      </c>
      <c r="P47" s="37"/>
      <c r="Q47" s="309"/>
      <c r="S47" s="62" t="s">
        <v>57</v>
      </c>
      <c r="T47" s="32"/>
      <c r="U47" s="68"/>
      <c r="V47" s="108"/>
    </row>
    <row r="48" spans="14:22" ht="7.5" customHeight="1" thickBot="1">
      <c r="N48" s="32"/>
      <c r="O48" s="32"/>
      <c r="P48" s="37"/>
      <c r="Q48" s="314"/>
      <c r="R48" s="32"/>
      <c r="V48" s="38"/>
    </row>
    <row r="49" spans="14:22" ht="18.75" customHeight="1" thickBot="1">
      <c r="N49" s="32"/>
      <c r="O49" s="62" t="s">
        <v>34</v>
      </c>
      <c r="P49" s="37"/>
      <c r="Q49" s="309"/>
      <c r="R49" s="32"/>
      <c r="V49" s="38"/>
    </row>
    <row r="50" spans="14:22" ht="7.5" customHeight="1" thickBot="1">
      <c r="N50" s="32"/>
      <c r="R50" s="32"/>
      <c r="V50" s="38"/>
    </row>
    <row r="51" spans="14:22" ht="18.75" customHeight="1" thickBot="1">
      <c r="N51" s="32"/>
      <c r="O51" s="62" t="s">
        <v>33</v>
      </c>
      <c r="P51" s="37"/>
      <c r="Q51" s="309"/>
      <c r="R51" s="32"/>
      <c r="V51" s="38"/>
    </row>
    <row r="52" spans="14:22" ht="18">
      <c r="N52" s="32"/>
      <c r="P52" s="32"/>
      <c r="Q52" s="308"/>
      <c r="R52" s="32"/>
      <c r="T52" s="32"/>
      <c r="U52" s="36"/>
      <c r="V52" s="32"/>
    </row>
    <row r="53" spans="14:22" ht="13.5" customHeight="1">
      <c r="N53" s="32"/>
      <c r="O53" s="48"/>
      <c r="P53" s="39"/>
      <c r="Q53" s="325" t="s">
        <v>18</v>
      </c>
      <c r="R53" s="325"/>
      <c r="S53" s="325"/>
      <c r="T53" s="32"/>
      <c r="U53" s="92">
        <f ca="1">TODAY()</f>
        <v>41180</v>
      </c>
      <c r="V53" s="32"/>
    </row>
    <row r="54" spans="14:22" ht="4.5" customHeight="1">
      <c r="N54" s="32"/>
      <c r="O54" s="32"/>
      <c r="P54" s="32"/>
      <c r="Q54" s="308"/>
      <c r="R54" s="32"/>
      <c r="S54" s="32"/>
      <c r="T54" s="32"/>
      <c r="U54" s="32"/>
      <c r="V54" s="32"/>
    </row>
  </sheetData>
  <sheetProtection/>
  <mergeCells count="7">
    <mergeCell ref="U43:V43"/>
    <mergeCell ref="C4:D4"/>
    <mergeCell ref="Q53:S53"/>
    <mergeCell ref="D24:F24"/>
    <mergeCell ref="C5:E5"/>
    <mergeCell ref="Q29:S29"/>
    <mergeCell ref="B6:F6"/>
  </mergeCells>
  <printOptions/>
  <pageMargins left="0.75" right="0.75" top="1" bottom="1" header="0.5" footer="0.5"/>
  <pageSetup horizontalDpi="1200" verticalDpi="12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H27"/>
  <sheetViews>
    <sheetView tabSelected="1" zoomScalePageLayoutView="0" workbookViewId="0" topLeftCell="A16">
      <selection activeCell="H29" sqref="H29"/>
    </sheetView>
  </sheetViews>
  <sheetFormatPr defaultColWidth="9.140625" defaultRowHeight="12.75"/>
  <cols>
    <col min="1" max="1" width="4.140625" style="31" customWidth="1"/>
    <col min="2" max="2" width="2.421875" style="31" customWidth="1"/>
    <col min="3" max="3" width="7.421875" style="31" customWidth="1"/>
    <col min="4" max="4" width="4.8515625" style="31" customWidth="1"/>
    <col min="5" max="5" width="7.7109375" style="41" customWidth="1"/>
    <col min="6" max="6" width="2.421875" style="31" customWidth="1"/>
    <col min="7" max="7" width="40.57421875" style="32" customWidth="1"/>
    <col min="8" max="8" width="4.57421875" style="31" customWidth="1"/>
    <col min="9" max="9" width="15.140625" style="31" customWidth="1"/>
    <col min="10" max="10" width="2.421875" style="31" customWidth="1"/>
    <col min="11" max="11" width="9.7109375" style="31" customWidth="1"/>
    <col min="12" max="12" width="0.42578125" style="31" customWidth="1"/>
    <col min="13" max="13" width="10.8515625" style="31" customWidth="1"/>
    <col min="14" max="14" width="2.421875" style="31" customWidth="1"/>
    <col min="15" max="15" width="3.7109375" style="31" customWidth="1"/>
    <col min="16" max="16" width="2.421875" style="31" customWidth="1"/>
    <col min="17" max="17" width="1.8515625" style="31" customWidth="1"/>
    <col min="18" max="24" width="9.140625" style="31" customWidth="1"/>
    <col min="25" max="25" width="10.57421875" style="31" customWidth="1"/>
    <col min="26" max="16384" width="9.140625" style="31" customWidth="1"/>
  </cols>
  <sheetData>
    <row r="1" spans="27:34" ht="13.5" customHeight="1">
      <c r="AA1" s="109">
        <v>1</v>
      </c>
      <c r="AH1" s="109">
        <v>5</v>
      </c>
    </row>
    <row r="2" spans="2:34" ht="11.25" customHeight="1">
      <c r="B2" s="32"/>
      <c r="C2" s="32"/>
      <c r="D2" s="32"/>
      <c r="E2" s="44"/>
      <c r="F2" s="32"/>
      <c r="H2" s="32"/>
      <c r="I2" s="32"/>
      <c r="J2" s="32"/>
      <c r="AA2" s="109"/>
      <c r="AH2" s="109"/>
    </row>
    <row r="3" spans="2:34" ht="27" customHeight="1">
      <c r="B3" s="32"/>
      <c r="C3" s="32"/>
      <c r="D3" s="32"/>
      <c r="E3" s="44"/>
      <c r="F3" s="32"/>
      <c r="H3" s="32"/>
      <c r="I3" s="32"/>
      <c r="J3" s="32"/>
      <c r="AA3" s="110">
        <v>0.95</v>
      </c>
      <c r="AB3" s="110" t="s">
        <v>7</v>
      </c>
      <c r="AH3" s="109" t="s">
        <v>91</v>
      </c>
    </row>
    <row r="4" spans="2:34" ht="18" customHeight="1">
      <c r="B4" s="32"/>
      <c r="C4" s="32"/>
      <c r="D4" s="32"/>
      <c r="E4" s="44"/>
      <c r="F4" s="32"/>
      <c r="H4" s="32"/>
      <c r="I4" s="32"/>
      <c r="J4" s="32"/>
      <c r="AA4" s="110">
        <v>0.9</v>
      </c>
      <c r="AB4" s="110"/>
      <c r="AH4" s="31" t="s">
        <v>78</v>
      </c>
    </row>
    <row r="5" spans="2:34" ht="21.75" customHeight="1">
      <c r="B5" s="32"/>
      <c r="C5" s="332" t="s">
        <v>568</v>
      </c>
      <c r="D5" s="332"/>
      <c r="E5" s="332"/>
      <c r="F5" s="332"/>
      <c r="G5" s="332"/>
      <c r="H5" s="32"/>
      <c r="I5" s="32"/>
      <c r="J5" s="32"/>
      <c r="AA5" s="110">
        <v>0.8</v>
      </c>
      <c r="AB5" s="110"/>
      <c r="AH5" s="31" t="s">
        <v>79</v>
      </c>
    </row>
    <row r="6" spans="2:34" ht="27.75" customHeight="1">
      <c r="B6" s="32"/>
      <c r="C6" s="331" t="s">
        <v>569</v>
      </c>
      <c r="D6" s="331"/>
      <c r="E6" s="331"/>
      <c r="F6" s="331"/>
      <c r="G6" s="331"/>
      <c r="H6" s="32"/>
      <c r="O6"/>
      <c r="AA6" s="110">
        <v>0.7</v>
      </c>
      <c r="AB6" s="110"/>
      <c r="AH6" s="109" t="s">
        <v>29</v>
      </c>
    </row>
    <row r="7" spans="2:34" ht="27.75" customHeight="1">
      <c r="B7" s="32"/>
      <c r="E7" s="31"/>
      <c r="F7" s="32"/>
      <c r="G7" s="33"/>
      <c r="H7" s="32"/>
      <c r="I7" s="34"/>
      <c r="J7" s="32"/>
      <c r="K7" s="32"/>
      <c r="L7" s="32"/>
      <c r="M7" s="32"/>
      <c r="AA7" s="110"/>
      <c r="AB7" s="110"/>
      <c r="AH7" s="31" t="s">
        <v>347</v>
      </c>
    </row>
    <row r="8" spans="2:27" ht="13.5" customHeight="1">
      <c r="B8" s="32"/>
      <c r="C8" s="134" t="s">
        <v>19</v>
      </c>
      <c r="E8" s="31"/>
      <c r="F8" s="32"/>
      <c r="G8" s="135" t="s">
        <v>77</v>
      </c>
      <c r="H8" s="32"/>
      <c r="I8" s="34"/>
      <c r="J8" s="32"/>
      <c r="K8" s="32"/>
      <c r="L8" s="32"/>
      <c r="M8" s="32"/>
      <c r="S8" s="31" t="s">
        <v>567</v>
      </c>
      <c r="AA8" s="110"/>
    </row>
    <row r="9" spans="2:27" ht="15.75" customHeight="1" thickBot="1">
      <c r="B9" s="32"/>
      <c r="C9" s="32"/>
      <c r="D9" s="32"/>
      <c r="E9" s="44"/>
      <c r="F9" s="32"/>
      <c r="G9" s="33"/>
      <c r="H9" s="32"/>
      <c r="I9" s="101"/>
      <c r="J9" s="32"/>
      <c r="K9" s="101"/>
      <c r="L9" s="32"/>
      <c r="M9" s="101"/>
      <c r="AA9" s="109"/>
    </row>
    <row r="10" spans="2:19" ht="21.75" customHeight="1" thickBot="1">
      <c r="B10" s="32"/>
      <c r="C10" s="32"/>
      <c r="D10" s="32"/>
      <c r="E10" s="44"/>
      <c r="F10" s="32"/>
      <c r="G10" s="136" t="s">
        <v>14</v>
      </c>
      <c r="H10" s="32"/>
      <c r="I10" s="46">
        <f>ESLC</f>
        <v>38.25</v>
      </c>
      <c r="J10" s="40" t="s">
        <v>0</v>
      </c>
      <c r="K10" s="102"/>
      <c r="L10" s="32"/>
      <c r="M10" s="102"/>
      <c r="S10" s="316"/>
    </row>
    <row r="11" spans="2:13" ht="8.25" customHeight="1">
      <c r="B11" s="32"/>
      <c r="C11" s="32"/>
      <c r="D11" s="32"/>
      <c r="E11" s="44"/>
      <c r="F11" s="32"/>
      <c r="G11" s="43"/>
      <c r="H11" s="32"/>
      <c r="I11" s="34"/>
      <c r="J11" s="32"/>
      <c r="K11" s="32"/>
      <c r="L11" s="32"/>
      <c r="M11" s="32"/>
    </row>
    <row r="12" spans="2:10" ht="9" customHeight="1">
      <c r="B12" s="32"/>
      <c r="C12" s="32"/>
      <c r="D12" s="32"/>
      <c r="E12" s="44"/>
      <c r="F12" s="32"/>
      <c r="G12" s="44"/>
      <c r="H12" s="32"/>
      <c r="J12" s="32"/>
    </row>
    <row r="13" spans="2:13" ht="6" customHeight="1" thickBot="1">
      <c r="B13" s="32"/>
      <c r="C13" s="32"/>
      <c r="D13" s="32"/>
      <c r="E13" s="44"/>
      <c r="F13" s="32"/>
      <c r="G13" s="44"/>
      <c r="H13" s="32"/>
      <c r="I13" s="44"/>
      <c r="J13" s="32"/>
      <c r="K13" s="32"/>
      <c r="M13" s="32"/>
    </row>
    <row r="14" spans="2:19" s="52" customFormat="1" ht="21.75" customHeight="1" thickBot="1">
      <c r="B14" s="49"/>
      <c r="C14" s="49"/>
      <c r="D14" s="49"/>
      <c r="E14" s="50" t="s">
        <v>16</v>
      </c>
      <c r="F14" s="49"/>
      <c r="G14" s="137" t="s">
        <v>8</v>
      </c>
      <c r="H14" s="49"/>
      <c r="I14" s="42">
        <f>VertailuKayttoika</f>
        <v>100</v>
      </c>
      <c r="J14" s="51"/>
      <c r="K14" s="31"/>
      <c r="L14" s="31"/>
      <c r="M14" s="31"/>
      <c r="O14" s="31"/>
      <c r="S14" s="315"/>
    </row>
    <row r="15" spans="2:19" s="52" customFormat="1" ht="31.5" customHeight="1" thickBot="1">
      <c r="B15" s="49"/>
      <c r="C15" s="49"/>
      <c r="D15" s="49"/>
      <c r="E15" s="53"/>
      <c r="F15" s="49"/>
      <c r="G15" s="54"/>
      <c r="H15" s="49"/>
      <c r="I15" s="44"/>
      <c r="J15" s="49"/>
      <c r="K15" s="31"/>
      <c r="L15" s="31"/>
      <c r="M15" s="31"/>
      <c r="O15" s="31"/>
      <c r="S15" s="31"/>
    </row>
    <row r="16" spans="2:15" s="52" customFormat="1" ht="21.75" customHeight="1" thickBot="1">
      <c r="B16" s="49"/>
      <c r="C16" s="49"/>
      <c r="D16" s="49"/>
      <c r="E16" s="50" t="s">
        <v>17</v>
      </c>
      <c r="F16" s="49"/>
      <c r="G16" s="49"/>
      <c r="H16" s="49"/>
      <c r="I16" s="58">
        <f>KerroinA</f>
        <v>0.5</v>
      </c>
      <c r="J16" s="59"/>
      <c r="K16" s="305"/>
      <c r="L16" s="31"/>
      <c r="M16" s="31"/>
      <c r="O16" s="31"/>
    </row>
    <row r="17" spans="2:15" s="52" customFormat="1" ht="7.5" customHeight="1" thickBot="1">
      <c r="B17" s="49"/>
      <c r="C17" s="49"/>
      <c r="D17" s="49"/>
      <c r="E17" s="53"/>
      <c r="F17" s="49"/>
      <c r="G17" s="54"/>
      <c r="H17" s="49"/>
      <c r="I17" s="97"/>
      <c r="J17" s="59"/>
      <c r="K17" s="305"/>
      <c r="L17" s="31"/>
      <c r="M17" s="31"/>
      <c r="O17" s="31"/>
    </row>
    <row r="18" spans="2:15" s="52" customFormat="1" ht="21.75" customHeight="1" thickBot="1">
      <c r="B18" s="49"/>
      <c r="C18" s="49"/>
      <c r="D18" s="49"/>
      <c r="E18" s="50" t="s">
        <v>11</v>
      </c>
      <c r="F18" s="49"/>
      <c r="G18" s="49"/>
      <c r="H18" s="49"/>
      <c r="I18" s="58">
        <f>KerroinB</f>
        <v>0.765</v>
      </c>
      <c r="J18" s="59"/>
      <c r="K18" s="305"/>
      <c r="L18" s="31"/>
      <c r="O18" s="31"/>
    </row>
    <row r="19" spans="2:15" s="52" customFormat="1" ht="7.5" customHeight="1" thickBot="1">
      <c r="B19" s="49"/>
      <c r="D19" s="49"/>
      <c r="E19" s="53"/>
      <c r="F19" s="49"/>
      <c r="G19" s="49"/>
      <c r="H19" s="49"/>
      <c r="I19" s="36"/>
      <c r="J19" s="49"/>
      <c r="K19" s="305"/>
      <c r="L19" s="31"/>
      <c r="M19" s="31"/>
      <c r="O19" s="31"/>
    </row>
    <row r="20" spans="2:15" s="52" customFormat="1" ht="21.75" customHeight="1" thickBot="1">
      <c r="B20" s="49"/>
      <c r="C20" s="49"/>
      <c r="D20" s="49"/>
      <c r="E20" s="50" t="s">
        <v>12</v>
      </c>
      <c r="F20" s="49"/>
      <c r="G20" s="49"/>
      <c r="H20" s="49"/>
      <c r="I20" s="58">
        <f>KerroinC</f>
        <v>1</v>
      </c>
      <c r="J20" s="99"/>
      <c r="K20" s="305"/>
      <c r="L20" s="31"/>
      <c r="M20" s="31"/>
      <c r="O20" s="31"/>
    </row>
    <row r="21" spans="2:15" s="52" customFormat="1" ht="4.5" customHeight="1" thickBot="1">
      <c r="B21" s="49"/>
      <c r="C21" s="49"/>
      <c r="D21" s="49"/>
      <c r="E21" s="53"/>
      <c r="F21" s="49"/>
      <c r="G21" s="49"/>
      <c r="H21" s="49"/>
      <c r="I21" s="36"/>
      <c r="J21" s="49"/>
      <c r="K21" s="305"/>
      <c r="L21" s="31"/>
      <c r="M21" s="31"/>
      <c r="O21" s="31"/>
    </row>
    <row r="22" spans="2:15" s="52" customFormat="1" ht="20.25" customHeight="1" thickBot="1">
      <c r="B22" s="49"/>
      <c r="C22" s="55"/>
      <c r="D22" s="55"/>
      <c r="E22" s="50" t="s">
        <v>306</v>
      </c>
      <c r="F22" s="49"/>
      <c r="G22" s="49"/>
      <c r="H22" s="49"/>
      <c r="I22" s="58">
        <f>KerroinD</f>
        <v>1</v>
      </c>
      <c r="J22" s="59"/>
      <c r="K22" s="305"/>
      <c r="L22" s="31"/>
      <c r="M22" s="31"/>
      <c r="O22" s="31"/>
    </row>
    <row r="23" spans="2:15" s="52" customFormat="1" ht="7.5" customHeight="1" thickBot="1">
      <c r="B23" s="49"/>
      <c r="C23" s="49"/>
      <c r="D23" s="49"/>
      <c r="E23" s="53"/>
      <c r="F23" s="49"/>
      <c r="G23" s="49"/>
      <c r="H23" s="49"/>
      <c r="I23" s="97"/>
      <c r="J23" s="98"/>
      <c r="K23" s="305"/>
      <c r="L23" s="31"/>
      <c r="M23" s="31"/>
      <c r="O23" s="31"/>
    </row>
    <row r="24" spans="2:15" s="52" customFormat="1" ht="21.75" customHeight="1" thickBot="1">
      <c r="B24" s="49"/>
      <c r="D24" s="55"/>
      <c r="E24" s="50" t="s">
        <v>13</v>
      </c>
      <c r="F24" s="49"/>
      <c r="G24" s="49"/>
      <c r="H24" s="49"/>
      <c r="I24" s="58">
        <f>KerroinG</f>
        <v>1</v>
      </c>
      <c r="J24" s="100"/>
      <c r="K24" s="305"/>
      <c r="L24" s="31"/>
      <c r="M24" s="31"/>
      <c r="O24" s="31"/>
    </row>
    <row r="25" spans="2:13" ht="7.5" customHeight="1">
      <c r="B25" s="32"/>
      <c r="C25" s="32"/>
      <c r="D25" s="37"/>
      <c r="E25" s="47"/>
      <c r="F25" s="32"/>
      <c r="G25" s="35"/>
      <c r="H25" s="32"/>
      <c r="I25" s="36"/>
      <c r="J25" s="38"/>
      <c r="K25" s="36"/>
      <c r="M25" s="36"/>
    </row>
    <row r="26" spans="2:13" ht="16.5" customHeight="1">
      <c r="B26" s="32"/>
      <c r="C26" s="48"/>
      <c r="D26" s="39"/>
      <c r="E26" s="325" t="s">
        <v>76</v>
      </c>
      <c r="F26" s="325"/>
      <c r="G26" s="325"/>
      <c r="H26" s="32"/>
      <c r="I26" s="32"/>
      <c r="J26" s="32"/>
      <c r="M26" s="189">
        <f>DATE(2008,6,19)</f>
        <v>39618</v>
      </c>
    </row>
    <row r="27" spans="2:10" ht="9.75" customHeight="1">
      <c r="B27" s="32"/>
      <c r="C27" s="32"/>
      <c r="D27" s="32"/>
      <c r="E27" s="44"/>
      <c r="F27" s="32"/>
      <c r="H27" s="32"/>
      <c r="I27" s="32"/>
      <c r="J27" s="32"/>
    </row>
  </sheetData>
  <sheetProtection/>
  <mergeCells count="3">
    <mergeCell ref="E26:G26"/>
    <mergeCell ref="C6:G6"/>
    <mergeCell ref="C5:G5"/>
  </mergeCells>
  <printOptions horizontalCentered="1"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M378"/>
  <sheetViews>
    <sheetView zoomScalePageLayoutView="0" workbookViewId="0" topLeftCell="A1">
      <selection activeCell="D30" sqref="D30:D31"/>
    </sheetView>
  </sheetViews>
  <sheetFormatPr defaultColWidth="9.140625" defaultRowHeight="12.75"/>
  <cols>
    <col min="1" max="1" width="38.28125" style="0" customWidth="1"/>
    <col min="2" max="2" width="9.140625" style="2" customWidth="1"/>
    <col min="3" max="3" width="5.7109375" style="0" customWidth="1"/>
    <col min="4" max="4" width="44.421875" style="0" customWidth="1"/>
    <col min="5" max="5" width="6.28125" style="0" customWidth="1"/>
    <col min="6" max="6" width="7.421875" style="2" customWidth="1"/>
    <col min="7" max="7" width="3.421875" style="0" customWidth="1"/>
    <col min="8" max="8" width="3.00390625" style="0" customWidth="1"/>
    <col min="9" max="9" width="9.7109375" style="0" customWidth="1"/>
    <col min="10" max="10" width="9.8515625" style="2" bestFit="1" customWidth="1"/>
    <col min="12" max="12" width="9.00390625" style="0" customWidth="1"/>
  </cols>
  <sheetData>
    <row r="1" spans="1:13" ht="15.75">
      <c r="A1" s="21" t="s">
        <v>30</v>
      </c>
      <c r="M1" t="s">
        <v>314</v>
      </c>
    </row>
    <row r="2" ht="12.75">
      <c r="M2" s="183" t="s">
        <v>310</v>
      </c>
    </row>
    <row r="3" spans="1:13" ht="12.75">
      <c r="A3" s="28" t="s">
        <v>1</v>
      </c>
      <c r="B3" s="69">
        <f>ESLC</f>
        <v>38.25</v>
      </c>
      <c r="C3" s="26" t="s">
        <v>0</v>
      </c>
      <c r="M3" s="186" t="s">
        <v>311</v>
      </c>
    </row>
    <row r="4" spans="1:13" ht="12.75">
      <c r="A4" s="29"/>
      <c r="B4" s="70"/>
      <c r="C4" s="27"/>
      <c r="M4" s="199" t="s">
        <v>312</v>
      </c>
    </row>
    <row r="5" spans="1:13" ht="12.75">
      <c r="A5" s="30" t="s">
        <v>2</v>
      </c>
      <c r="M5" s="200" t="s">
        <v>313</v>
      </c>
    </row>
    <row r="6" spans="2:9" ht="12.75">
      <c r="B6" s="14" t="s">
        <v>3</v>
      </c>
      <c r="D6" s="18" t="s">
        <v>4</v>
      </c>
      <c r="E6" s="18" t="s">
        <v>5</v>
      </c>
      <c r="F6" s="14"/>
      <c r="I6" s="19"/>
    </row>
    <row r="7" spans="1:6" ht="12.75">
      <c r="A7" t="s">
        <v>6</v>
      </c>
      <c r="B7" s="71">
        <f>Tulos!AA1</f>
        <v>1</v>
      </c>
      <c r="D7" t="s">
        <v>7</v>
      </c>
      <c r="E7" s="3">
        <v>0.95</v>
      </c>
      <c r="F7" s="94"/>
    </row>
    <row r="8" spans="1:10" ht="12.75">
      <c r="A8" t="s">
        <v>8</v>
      </c>
      <c r="B8" s="192">
        <f ca="1">IF(B10=1,INDIRECT("Kertoimet_materiaali!D"&amp;18+Materiaali),IF(B10=2,INDIRECT("Kertoimet_materiaali!e"&amp;18+Materiaali),IF(B10=3,INDIRECT("Kertoimet_materiaali!f"&amp;18+Materiaali),IF(B10=4,INDIRECT("Kertoimet_materiaali!g"&amp;18+Materiaali),IF(B10=5,INDIRECT("Kertoimet_materiaali!h"&amp;18+Materiaali))))))</f>
        <v>100</v>
      </c>
      <c r="C8" s="20" t="s">
        <v>0</v>
      </c>
      <c r="D8" s="184" t="s">
        <v>230</v>
      </c>
      <c r="F8" s="179"/>
      <c r="I8" t="s">
        <v>16</v>
      </c>
      <c r="J8" s="2">
        <f>B8</f>
        <v>100</v>
      </c>
    </row>
    <row r="9" spans="2:6" ht="12.75">
      <c r="B9" s="14"/>
      <c r="F9" s="179"/>
    </row>
    <row r="10" spans="1:6" ht="36.75" customHeight="1">
      <c r="A10" t="s">
        <v>81</v>
      </c>
      <c r="B10" s="14">
        <f>Rakenne</f>
        <v>5</v>
      </c>
      <c r="D10" s="138" t="s">
        <v>109</v>
      </c>
      <c r="F10" s="179"/>
    </row>
    <row r="11" spans="1:6" ht="12.75">
      <c r="A11" s="20" t="s">
        <v>31</v>
      </c>
      <c r="B11" s="71">
        <v>1</v>
      </c>
      <c r="D11" s="119" t="s">
        <v>270</v>
      </c>
      <c r="F11" s="179"/>
    </row>
    <row r="13" spans="1:12" ht="12.75">
      <c r="A13" s="20"/>
      <c r="B13" s="20"/>
      <c r="C13" s="20"/>
      <c r="F13" s="179"/>
      <c r="I13" s="18"/>
      <c r="J13" s="7"/>
      <c r="K13" s="222">
        <f>IF(OR(K16="M",K16="R"),1,0)</f>
        <v>0</v>
      </c>
      <c r="L13" s="223" t="s">
        <v>349</v>
      </c>
    </row>
    <row r="14" spans="1:6" ht="12.75">
      <c r="A14" s="18" t="s">
        <v>10</v>
      </c>
      <c r="B14" s="14"/>
      <c r="F14" s="179"/>
    </row>
    <row r="15" spans="1:6" ht="12.75">
      <c r="A15" s="19"/>
      <c r="F15" s="179" t="s">
        <v>343</v>
      </c>
    </row>
    <row r="16" spans="1:9" ht="26.25" customHeight="1">
      <c r="A16" t="s">
        <v>340</v>
      </c>
      <c r="B16" s="71">
        <v>2</v>
      </c>
      <c r="D16" s="202" t="str">
        <f ca="1">IF(B10=1,INDIRECT("Kertoimet_materiaali!D"&amp;4+Materiaali),IF(B10=2,INDIRECT("Kertoimet_materiaali!e"&amp;4+Materiaali),IF(B10=3,INDIRECT("Kertoimet_materiaali!f"&amp;4+Materiaali),IF(B10=4,INDIRECT("Kertoimet_materiaali!g"&amp;4+Materiaali),INDIRECT("Kertoimet_materiaali!h"&amp;4+Materiaali)))))</f>
        <v>Ferriittinen ruostumaton teräs EN 1.4509</v>
      </c>
      <c r="F16" s="201" t="str">
        <f ca="1">IF(B10=1,INDIRECT("Kertoimet_materiaali!j"&amp;4+Materiaali),IF(B10=2,INDIRECT("Kertoimet_materiaali!k"&amp;4+Materiaali),IF(B10=3,INDIRECT("Kertoimet_materiaali!l"&amp;4+Materiaali),IF(B10=4,INDIRECT("Kertoimet_materiaali!m"&amp;4+Materiaali),IF(B10=5,INDIRECT("Kertoimet_materiaali!n"&amp;4+Materiaali),"0")))))</f>
        <v>R1</v>
      </c>
      <c r="G16" s="220" t="str">
        <f>IF(F16="R1","R",IF(F16="R2","R",IF(F16="R3","R",IF(F16="R4","R",F16))))</f>
        <v>R</v>
      </c>
      <c r="I16" s="9"/>
    </row>
    <row r="17" spans="1:11" ht="12.75">
      <c r="A17" s="20" t="s">
        <v>317</v>
      </c>
      <c r="F17" s="179"/>
      <c r="J17" s="206">
        <f ca="1">IF(Rasitusluokka=1,INDIRECT("Kertoimet_materiaali!d"&amp;34+Materiaali),IF(Rasitusluokka=2,INDIRECT("Kertoimet_materiaali!d"&amp;48+Materiaali),IF(Rasitusluokka=3,INDIRECT("Kertoimet_materiaali!d"&amp;62+Materiaali))))</f>
        <v>0</v>
      </c>
      <c r="K17" s="184" t="s">
        <v>230</v>
      </c>
    </row>
    <row r="18" spans="1:11" ht="12.75">
      <c r="A18" s="20" t="s">
        <v>344</v>
      </c>
      <c r="F18" s="179"/>
      <c r="I18" s="9"/>
      <c r="J18" s="206">
        <f ca="1">IF(Rasitusluokka=1,INDIRECT("Kertoimet_materiaali!e"&amp;34+Materiaali),IF(Rasitusluokka=2,INDIRECT("Kertoimet_materiaali!e"&amp;48+Materiaali),IF(Rasitusluokka=3,INDIRECT("Kertoimet_materiaali!e"&amp;62+Materiaali))))</f>
        <v>0</v>
      </c>
      <c r="K18" s="184" t="s">
        <v>230</v>
      </c>
    </row>
    <row r="19" spans="1:11" ht="12.75">
      <c r="A19" s="20" t="s">
        <v>318</v>
      </c>
      <c r="F19" s="179"/>
      <c r="I19" s="9"/>
      <c r="J19" s="211">
        <f ca="1">IF(Rasitusluokka=1,INDIRECT("Kertoimet_materiaali!f"&amp;34+Materiaali),IF(Rasitusluokka=2,INDIRECT("Kertoimet_materiaali!f"&amp;48+Materiaali),IF(Rasitusluokka=3,INDIRECT("Kertoimet_materiaali!f"&amp;62+Materiaali))))</f>
        <v>0</v>
      </c>
      <c r="K19" s="184" t="s">
        <v>230</v>
      </c>
    </row>
    <row r="20" spans="1:11" ht="12.75">
      <c r="A20" s="20" t="s">
        <v>319</v>
      </c>
      <c r="F20" s="179"/>
      <c r="I20" s="9"/>
      <c r="J20" s="211">
        <f ca="1">IF(Rasitusluokka=1,INDIRECT("Kertoimet_materiaali!g"&amp;34+Materiaali),IF(Rasitusluokka=2,INDIRECT("Kertoimet_materiaali!g"&amp;48+Materiaali),IF(Rasitusluokka=3,INDIRECT("Kertoimet_materiaali!g"&amp;62+Materiaali))))</f>
        <v>1</v>
      </c>
      <c r="K20" s="184" t="s">
        <v>230</v>
      </c>
    </row>
    <row r="21" spans="1:11" ht="12.75">
      <c r="A21" s="20" t="s">
        <v>320</v>
      </c>
      <c r="F21" s="179"/>
      <c r="I21" s="9"/>
      <c r="J21" s="211">
        <f ca="1">IF(Rasitusluokka=1,INDIRECT("Kertoimet_materiaali!h"&amp;34+Materiaali),IF(Rasitusluokka=2,INDIRECT("Kertoimet_materiaali!h"&amp;48+Materiaali),IF(Rasitusluokka=3,INDIRECT("Kertoimet_materiaali!h"&amp;62+Materiaali))))</f>
        <v>0</v>
      </c>
      <c r="K21" s="184" t="s">
        <v>230</v>
      </c>
    </row>
    <row r="22" spans="1:10" ht="12.75">
      <c r="A22" s="18" t="s">
        <v>325</v>
      </c>
      <c r="F22" s="179"/>
      <c r="I22" s="9" t="s">
        <v>226</v>
      </c>
      <c r="J22" s="212">
        <f>IF(G16="R",0,IF(Rakenne=1,J17,IF(Rakenne=2,J18,IF(Rakenne=3,J19,IF(Rakenne=4,J20,IF(Rakenne=5,J21))))))</f>
        <v>0</v>
      </c>
    </row>
    <row r="23" spans="1:10" ht="12.75">
      <c r="A23" s="20"/>
      <c r="F23" s="179"/>
      <c r="I23" s="9"/>
      <c r="J23" s="212"/>
    </row>
    <row r="24" spans="1:10" s="20" customFormat="1" ht="12.75">
      <c r="A24" s="20" t="s">
        <v>301</v>
      </c>
      <c r="B24" s="71">
        <v>4</v>
      </c>
      <c r="D24" s="204" t="s">
        <v>528</v>
      </c>
      <c r="F24" s="179"/>
      <c r="I24" s="205" t="s">
        <v>316</v>
      </c>
      <c r="J24" s="212">
        <f>IF(Rakenne=3,J26,J25)</f>
        <v>1</v>
      </c>
    </row>
    <row r="25" spans="4:10" ht="12.75">
      <c r="D25" t="s">
        <v>502</v>
      </c>
      <c r="I25" s="205" t="s">
        <v>527</v>
      </c>
      <c r="J25" s="2">
        <f ca="1">IF(F16="P",INDIRECT("Kertoimet_materiaali!d"&amp;140+PinnoiteVari),1)</f>
        <v>1</v>
      </c>
    </row>
    <row r="26" spans="1:10" ht="12.75">
      <c r="A26" s="177" t="s">
        <v>327</v>
      </c>
      <c r="B26" s="20"/>
      <c r="C26" s="20"/>
      <c r="D26" s="119"/>
      <c r="F26" s="179"/>
      <c r="I26" s="205" t="s">
        <v>526</v>
      </c>
      <c r="J26" s="212" t="str">
        <f ca="1">IF(F16="P",INDIRECT("Kertoimet_materiaali!f"&amp;140+PinnoiteVari),"1")</f>
        <v>1</v>
      </c>
    </row>
    <row r="27" spans="1:9" ht="12.75">
      <c r="A27" s="20"/>
      <c r="B27" s="71">
        <v>2</v>
      </c>
      <c r="C27" s="20"/>
      <c r="D27" s="119" t="s">
        <v>225</v>
      </c>
      <c r="F27" s="179"/>
      <c r="I27" s="9"/>
    </row>
    <row r="28" spans="1:12" ht="65.25" customHeight="1">
      <c r="A28" s="20"/>
      <c r="B28" s="260">
        <f>IF(F16="R1",1,IF(F16="R2",2,IF(F16="R3",3,IF(F16="R4",4,0))))</f>
        <v>1</v>
      </c>
      <c r="C28" s="20"/>
      <c r="D28" s="138" t="s">
        <v>335</v>
      </c>
      <c r="F28" s="179"/>
      <c r="I28" s="9"/>
      <c r="J28" s="10" t="s">
        <v>161</v>
      </c>
      <c r="K28" s="2" t="s">
        <v>341</v>
      </c>
      <c r="L28" s="2" t="s">
        <v>163</v>
      </c>
    </row>
    <row r="29" spans="1:12" ht="12" customHeight="1">
      <c r="A29" t="s">
        <v>348</v>
      </c>
      <c r="J29" s="211">
        <f ca="1">IF(Rasitusluokka=1,INDIRECT("Kertoimet_materiaali!d"&amp;78+Ruostumaton),IF(Rasitusluokka=2,INDIRECT("Kertoimet_materiaali!d"&amp;95+Ruostumaton),IF(Rasitusluokka=3,INDIRECT("Kertoimet_materiaali!d"&amp;112+Ruostumaton))))</f>
        <v>1</v>
      </c>
      <c r="K29" s="211">
        <f ca="1">IF(Rasitusluokka=1,INDIRECT("Kertoimet_materiaali!D"&amp;83+Ruostumaton),IF(Rasitusluokka=2,INDIRECT("Kertoimet_materiaali!d"&amp;100+Ruostumaton),IF(Rasitusluokka=3,INDIRECT("Kertoimet_materiaali!d"&amp;117+Ruostumaton))))</f>
        <v>0.5</v>
      </c>
      <c r="L29" s="211">
        <f ca="1">IF(Rasitusluokka=1,INDIRECT("Kertoimet_materiaali!D"&amp;88+Ruostumaton),IF(Rasitusluokka=2,INDIRECT("Kertoimet_materiaali!d"&amp;105+Ruostumaton),IF(Rasitusluokka=3,INDIRECT("Kertoimet_materiaali!d"&amp;122+Ruostumaton))))</f>
        <v>0.4</v>
      </c>
    </row>
    <row r="30" spans="1:13" ht="409.5">
      <c r="A30" t="s">
        <v>345</v>
      </c>
      <c r="C30" s="20"/>
      <c r="D30" s="317" t="str">
        <f>IF(Ruostumaton=1,"Kestävyydeltään samaa luokaa on EN 1.4509",IF(Ruostumaton=2,"Kestävyydeltään samaa luokaa ovat EN 1.4318, EN 1.4541 ja EN 1.4311 ",IF(Ruostumaton=3,"Kestävyydeltään samaa luokkaa ovat: EN 1.4571, EN 1.4406",IF(Ruostumaton=4," "))))</f>
        <v>Kestävyydeltään samaa luokaa on EN 1.4509</v>
      </c>
      <c r="F30" s="179"/>
      <c r="I30" s="9"/>
      <c r="J30" s="211">
        <f ca="1">IF(Rasitusluokka=1,INDIRECT("Kertoimet_materiaali!e"&amp;78+Ruostumaton),IF(Rasitusluokka=2,INDIRECT("Kertoimet_materiaali!e"&amp;95+Ruostumaton),IF(Rasitusluokka=3,INDIRECT("Kertoimet_materiaali!e"&amp;112+Ruostumaton))))</f>
        <v>1</v>
      </c>
      <c r="K30" s="211">
        <f ca="1">IF(Rasitusluokka=1,INDIRECT("Kertoimet_materiaali!e"&amp;83+Ruostumaton),IF(Rasitusluokka=2,INDIRECT("Kertoimet_materiaali!e"&amp;100+Ruostumaton),IF(Rasitusluokka=3,INDIRECT("Kertoimet_materiaali!e"&amp;117+Ruostumaton))))</f>
        <v>0.5</v>
      </c>
      <c r="L30" s="211">
        <f ca="1">IF(Rasitusluokka=1,INDIRECT("Kertoimet_materiaali!e"&amp;88+Ruostumaton),IF(Rasitusluokka=2,INDIRECT("Kertoimet_materiaali!e"&amp;105+Ruostumaton),IF(Rasitusluokka=3,INDIRECT("Kertoimet_materiaali!e"&amp;122+Ruostumaton))))</f>
        <v>0.4</v>
      </c>
      <c r="M30" s="211"/>
    </row>
    <row r="31" spans="1:13" ht="409.5">
      <c r="A31" t="s">
        <v>321</v>
      </c>
      <c r="C31" s="20"/>
      <c r="F31" s="179"/>
      <c r="I31" s="9"/>
      <c r="J31" s="211">
        <f ca="1">IF(Rasitusluokka=1,INDIRECT("Kertoimet_materiaali!f"&amp;78+Ruostumaton),IF(Rasitusluokka=2,INDIRECT("Kertoimet_materiaali!f"&amp;95+Ruostumaton),IF(Rasitusluokka=3,INDIRECT("Kertoimet_materiaali!f"&amp;112+Ruostumaton))))</f>
        <v>1</v>
      </c>
      <c r="K31" s="211">
        <f ca="1">IF(Rasitusluokka=1,INDIRECT("Kertoimet_materiaali!f"&amp;83+Ruostumaton),IF(Rasitusluokka=2,INDIRECT("Kertoimet_materiaali!f"&amp;100+Ruostumaton),IF(Rasitusluokka=3,INDIRECT("Kertoimet_materiaali!f"&amp;117+Ruostumaton))))</f>
        <v>0.8</v>
      </c>
      <c r="L31" s="211">
        <f ca="1">IF(Rasitusluokka=1,INDIRECT("Kertoimet_materiaali!f"&amp;88+Ruostumaton),IF(Rasitusluokka=2,INDIRECT("Kertoimet_materiaali!f"&amp;105+Ruostumaton),IF(Rasitusluokka=3,INDIRECT("Kertoimet_materiaali!f"&amp;122+Ruostumaton))))</f>
        <v>0.6</v>
      </c>
      <c r="M31" s="211"/>
    </row>
    <row r="32" spans="1:13" ht="409.5">
      <c r="A32" t="s">
        <v>322</v>
      </c>
      <c r="C32" s="20"/>
      <c r="F32" s="179"/>
      <c r="I32" s="9"/>
      <c r="J32" s="211">
        <f ca="1">IF(Rasitusluokka=1,INDIRECT("Kertoimet_materiaali!g"&amp;78+Ruostumaton),IF(Rasitusluokka=2,INDIRECT("Kertoimet_materiaali!g"&amp;95+Ruostumaton),IF(Rasitusluokka=3,INDIRECT("Kertoimet_materiaali!g"&amp;112+Ruostumaton))))</f>
        <v>0</v>
      </c>
      <c r="K32" s="211">
        <f ca="1">IF(Rasitusluokka=1,INDIRECT("Kertoimet_materiaali!g"&amp;83+Ruostumaton),IF(Rasitusluokka=2,INDIRECT("Kertoimet_materiaali!g"&amp;100+Ruostumaton),IF(Rasitusluokka=3,INDIRECT("Kertoimet_materiaali!g"&amp;117+Ruostumaton))))</f>
        <v>0</v>
      </c>
      <c r="L32" s="211">
        <f ca="1">IF(Rasitusluokka=1,INDIRECT("Kertoimet_materiaali!g"&amp;88+Ruostumaton),IF(Rasitusluokka=2,INDIRECT("Kertoimet_materiaali!g"&amp;105+Ruostumaton),IF(Rasitusluokka=3,INDIRECT("Kertoimet_materiaali!g"&amp;122+Ruostumaton))))</f>
        <v>0</v>
      </c>
      <c r="M32" s="211"/>
    </row>
    <row r="33" spans="1:13" ht="409.5">
      <c r="A33" t="s">
        <v>323</v>
      </c>
      <c r="C33" s="20"/>
      <c r="D33" s="119"/>
      <c r="F33" s="179"/>
      <c r="I33" s="9"/>
      <c r="J33" s="211">
        <f ca="1">IF(Rasitusluokka=1,INDIRECT("Kertoimet_materiaali!h"&amp;78+Ruostumaton),IF(Rasitusluokka=2,INDIRECT("Kertoimet_materiaali!h"&amp;95+Ruostumaton),IF(Rasitusluokka=3,INDIRECT("Kertoimet_materiaali!h"&amp;112+Ruostumaton))))</f>
        <v>1</v>
      </c>
      <c r="K33" s="211">
        <f ca="1">IF(Rasitusluokka=1,INDIRECT("Kertoimet_materiaali!h"&amp;83+Ruostumaton),IF(Rasitusluokka=2,INDIRECT("Kertoimet_materiaali!h"&amp;100+Ruostumaton),IF(Rasitusluokka=3,INDIRECT("Kertoimet_materiaali!h"&amp;117+Ruostumaton))))</f>
        <v>0.5</v>
      </c>
      <c r="L33" s="211">
        <f ca="1">IF(Rasitusluokka=1,INDIRECT("Kertoimet_materiaali!h"&amp;88+Ruostumaton),IF(Rasitusluokka=2,INDIRECT("Kertoimet_materiaali!h"&amp;105+Ruostumaton),IF(Rasitusluokka=3,INDIRECT("Kertoimet_materiaali!h"&amp;122+Ruostumaton))))</f>
        <v>0.4</v>
      </c>
      <c r="M33" s="211"/>
    </row>
    <row r="34" spans="1:10" ht="409.5">
      <c r="A34" s="18" t="s">
        <v>326</v>
      </c>
      <c r="F34" s="179"/>
      <c r="I34" s="9" t="s">
        <v>315</v>
      </c>
      <c r="J34" s="10">
        <f ca="1">IF(Korroosio_olosuhteet=1,INDIRECT("j"&amp;28+Rakenne),IF(Korroosio_olosuhteet=2,INDIRECT("k"&amp;28+Rakenne),IF(Korroosio_olosuhteet=3,INDIRECT("l"&amp;28+Rakenne))))</f>
        <v>0.5</v>
      </c>
    </row>
    <row r="35" spans="1:10" ht="409.5">
      <c r="A35" s="18"/>
      <c r="F35" s="179"/>
      <c r="I35" s="9"/>
      <c r="J35" s="10"/>
    </row>
    <row r="36" spans="1:11" ht="409.5">
      <c r="A36" s="20" t="s">
        <v>111</v>
      </c>
      <c r="B36" s="71">
        <v>1</v>
      </c>
      <c r="C36" s="20"/>
      <c r="D36" s="119" t="s">
        <v>324</v>
      </c>
      <c r="F36" s="179"/>
      <c r="I36" s="205" t="s">
        <v>328</v>
      </c>
      <c r="J36" s="211">
        <f ca="1">IF(Rakenne=5,INDIRECT("Kertoimet_materiaali!H"&amp;135+Runko),INDIRECT("Kertoimet_materiaali!D"&amp;128+Pinnan_laatu))</f>
        <v>1</v>
      </c>
      <c r="K36" s="184" t="s">
        <v>230</v>
      </c>
    </row>
    <row r="37" spans="1:11" ht="409.5">
      <c r="A37" s="20" t="s">
        <v>334</v>
      </c>
      <c r="B37" s="71">
        <v>1</v>
      </c>
      <c r="C37" s="20"/>
      <c r="D37" s="119" t="s">
        <v>342</v>
      </c>
      <c r="F37" s="179"/>
      <c r="I37" s="205"/>
      <c r="J37" s="211"/>
      <c r="K37" s="184"/>
    </row>
    <row r="38" spans="1:11" ht="409.5">
      <c r="A38" s="20"/>
      <c r="B38" s="20"/>
      <c r="C38" s="20"/>
      <c r="D38" s="119"/>
      <c r="F38" s="179"/>
      <c r="I38" s="205"/>
      <c r="J38" s="211"/>
      <c r="K38" s="184"/>
    </row>
    <row r="39" spans="1:10" ht="409.5">
      <c r="A39" s="20"/>
      <c r="B39" s="20"/>
      <c r="C39" s="20"/>
      <c r="D39" s="119"/>
      <c r="F39" s="179"/>
      <c r="I39" s="186" t="s">
        <v>44</v>
      </c>
      <c r="J39" s="213">
        <f>IF(G16="R",KerroinA1R*KerroinA2R,KerroinA1*KerroinA2)</f>
        <v>0.5</v>
      </c>
    </row>
    <row r="40" spans="1:10" ht="409.5">
      <c r="A40" s="20"/>
      <c r="B40" s="72"/>
      <c r="F40" s="179"/>
      <c r="J40" s="10"/>
    </row>
    <row r="41" ht="409.5">
      <c r="A41" s="19"/>
    </row>
    <row r="42" spans="10:13" ht="409.5">
      <c r="J42" s="10"/>
      <c r="M42" s="5"/>
    </row>
    <row r="43" spans="1:11" ht="409.5">
      <c r="A43" s="178" t="s">
        <v>386</v>
      </c>
      <c r="H43" s="177" t="s">
        <v>58</v>
      </c>
      <c r="I43" s="18"/>
      <c r="J43" s="10"/>
      <c r="K43" s="9"/>
    </row>
    <row r="44" spans="2:11" ht="409.5">
      <c r="B44" s="72"/>
      <c r="F44" s="2" t="s">
        <v>219</v>
      </c>
      <c r="J44" s="10"/>
      <c r="K44" s="9"/>
    </row>
    <row r="45" spans="1:11" ht="38.25">
      <c r="A45" s="141" t="s">
        <v>168</v>
      </c>
      <c r="B45" s="71">
        <v>4</v>
      </c>
      <c r="D45" t="s">
        <v>236</v>
      </c>
      <c r="F45" s="25">
        <v>0.5</v>
      </c>
      <c r="I45" s="9" t="s">
        <v>177</v>
      </c>
      <c r="J45" s="10">
        <f>IF(TuuletusvaliJS=1,1.1,IF(TuuletusvaliJS=2,1,IF(TuuletusvaliJS=3,0.95,0.85)))</f>
        <v>0.85</v>
      </c>
      <c r="K45" s="9"/>
    </row>
    <row r="46" spans="2:11" ht="409.5">
      <c r="B46" s="20"/>
      <c r="I46" s="9"/>
      <c r="J46" s="10"/>
      <c r="K46" s="9"/>
    </row>
    <row r="47" spans="1:11" ht="36">
      <c r="A47" s="20" t="s">
        <v>173</v>
      </c>
      <c r="B47" s="71">
        <v>3</v>
      </c>
      <c r="D47" s="138" t="s">
        <v>227</v>
      </c>
      <c r="F47" s="2">
        <v>0.2</v>
      </c>
      <c r="I47" s="9" t="s">
        <v>176</v>
      </c>
      <c r="J47" s="10">
        <f>IF(Tuuletusvali_yhtJS=1,1,IF(Tuuletusvali_yhtJS=2,1,IF(Tuuletusvali_yhtJS=3,0.95,IF(Tuuletusvali_yhtJS=4,0.9,0.85))))</f>
        <v>0.95</v>
      </c>
      <c r="K47" s="9"/>
    </row>
    <row r="48" spans="2:11" ht="409.5">
      <c r="B48" s="20"/>
      <c r="F48" s="25"/>
      <c r="I48" s="9"/>
      <c r="J48" s="10"/>
      <c r="K48" s="9"/>
    </row>
    <row r="49" spans="1:11" ht="51">
      <c r="A49" s="141" t="s">
        <v>181</v>
      </c>
      <c r="B49" s="71">
        <v>1</v>
      </c>
      <c r="D49" t="s">
        <v>231</v>
      </c>
      <c r="J49" s="10"/>
      <c r="K49" s="9"/>
    </row>
    <row r="50" spans="1:11" ht="409.5">
      <c r="A50" t="s">
        <v>229</v>
      </c>
      <c r="B50" s="71">
        <v>1</v>
      </c>
      <c r="D50" t="s">
        <v>228</v>
      </c>
      <c r="F50" s="25">
        <v>0.3</v>
      </c>
      <c r="I50" s="9" t="s">
        <v>183</v>
      </c>
      <c r="J50" s="214">
        <f ca="1">IF(KuristuskappleJS=1,INDIRECT("Rakennekertoimet!D"&amp;23+Tuuletus_kuristusJS),IF(KuristuskappleJS=2,INDIRECT("Rakennekertoimet!e"&amp;23+Tuuletus_kuristusJS),IF(KuristuskappleJS=3,INDIRECT("Rakennekertoimet!f"&amp;23+Tuuletus_kuristusJS),INDIRECT("Rakennekertoimet!g"&amp;23+Tuuletus_kuristusJS))))</f>
        <v>1</v>
      </c>
      <c r="K50" s="203" t="s">
        <v>230</v>
      </c>
    </row>
    <row r="51" spans="2:11" ht="409.5">
      <c r="B51"/>
      <c r="F51" s="25"/>
      <c r="I51" s="9"/>
      <c r="J51" s="10"/>
      <c r="K51" s="9"/>
    </row>
    <row r="52" spans="1:11" ht="409.5">
      <c r="A52" s="20"/>
      <c r="B52" s="20"/>
      <c r="I52" s="176" t="s">
        <v>193</v>
      </c>
      <c r="J52" s="212">
        <f>(J45*F45)+(J47*F47)+(J50*F50)</f>
        <v>0.915</v>
      </c>
      <c r="K52" s="9"/>
    </row>
    <row r="53" spans="1:11" ht="409.5">
      <c r="A53" s="20"/>
      <c r="B53" s="20"/>
      <c r="I53" s="176"/>
      <c r="J53" s="215"/>
      <c r="K53" s="9"/>
    </row>
    <row r="54" spans="1:13" ht="48">
      <c r="A54" s="141" t="s">
        <v>196</v>
      </c>
      <c r="B54" s="71">
        <v>3</v>
      </c>
      <c r="D54" s="138" t="s">
        <v>408</v>
      </c>
      <c r="F54" s="2">
        <v>0.8</v>
      </c>
      <c r="I54" s="9" t="s">
        <v>195</v>
      </c>
      <c r="J54" s="214">
        <f ca="1">IF(D16="CORTEN",INDIRECT("Rakennekertoimet!e"&amp;32+Sadevesi),INDIRECT("Rakennekertoimet!D"&amp;32+Sadevesi))</f>
        <v>0.9</v>
      </c>
      <c r="K54" s="203" t="s">
        <v>230</v>
      </c>
      <c r="M54" s="158"/>
    </row>
    <row r="55" spans="1:13" ht="409.5">
      <c r="A55" s="20"/>
      <c r="B55" s="72"/>
      <c r="J55" s="10"/>
      <c r="K55" s="9"/>
      <c r="M55" s="158"/>
    </row>
    <row r="56" spans="1:13" ht="36">
      <c r="A56" s="141" t="s">
        <v>199</v>
      </c>
      <c r="B56" s="71">
        <v>3</v>
      </c>
      <c r="D56" s="138" t="s">
        <v>409</v>
      </c>
      <c r="F56" s="2">
        <v>0.2</v>
      </c>
      <c r="I56" s="9" t="s">
        <v>198</v>
      </c>
      <c r="J56" s="214">
        <f ca="1">IF(D16="CORTEN",INDIRECT("Rakennekertoimet!e"&amp;38+Vedenjohtaminen),INDIRECT("Rakennekertoimet!d"&amp;38+Vedenjohtaminen))</f>
        <v>0.85</v>
      </c>
      <c r="K56" s="203" t="s">
        <v>230</v>
      </c>
      <c r="M56" s="158"/>
    </row>
    <row r="57" spans="1:13" ht="409.5">
      <c r="A57" s="20"/>
      <c r="B57" s="20"/>
      <c r="C57" s="20"/>
      <c r="I57" s="9"/>
      <c r="J57" s="10"/>
      <c r="K57" s="9"/>
      <c r="M57" s="158"/>
    </row>
    <row r="58" spans="1:11" ht="409.5">
      <c r="A58" s="20"/>
      <c r="B58" s="20"/>
      <c r="C58" s="20"/>
      <c r="I58" s="176" t="s">
        <v>201</v>
      </c>
      <c r="J58" s="211">
        <f>J54*F54+J56*F56</f>
        <v>0.8900000000000001</v>
      </c>
      <c r="K58" s="9"/>
    </row>
    <row r="59" spans="1:11" ht="409.5">
      <c r="A59" s="20"/>
      <c r="B59" s="20"/>
      <c r="C59" s="20"/>
      <c r="I59" s="9"/>
      <c r="J59" s="10"/>
      <c r="K59" s="9"/>
    </row>
    <row r="60" spans="1:10" ht="24">
      <c r="A60" s="20" t="s">
        <v>92</v>
      </c>
      <c r="B60" s="71">
        <v>1</v>
      </c>
      <c r="D60" s="138" t="s">
        <v>392</v>
      </c>
      <c r="I60" s="176" t="s">
        <v>202</v>
      </c>
      <c r="J60" s="216">
        <f>IF(Kiinnikeulkoilma=1,J62,J63)</f>
        <v>0.8</v>
      </c>
    </row>
    <row r="61" spans="1:3" ht="409.5">
      <c r="A61" s="20"/>
      <c r="B61" s="20"/>
      <c r="C61" s="20"/>
    </row>
    <row r="62" spans="1:11" ht="409.5">
      <c r="A62" s="20" t="s">
        <v>346</v>
      </c>
      <c r="B62" s="118">
        <v>2</v>
      </c>
      <c r="D62" t="s">
        <v>93</v>
      </c>
      <c r="G62" s="27" t="s">
        <v>123</v>
      </c>
      <c r="H62" s="27"/>
      <c r="I62" s="27"/>
      <c r="J62" s="288">
        <f ca="1">IF(Rasitusluokka=1,INDIRECT("Rakennekertoimet!D"&amp;54+Kiinnikkeet),IF(Rasitusluokka=2,INDIRECT("Rakennekertoimet!e"&amp;54+Kiinnikkeet),IF(Rasitusluokka=3,INDIRECT("Rakennekertoimet!f"&amp;54+Kiinnikkeet))))</f>
        <v>0.9</v>
      </c>
      <c r="K62" s="183" t="s">
        <v>230</v>
      </c>
    </row>
    <row r="63" spans="1:11" s="27" customFormat="1" ht="409.5">
      <c r="A63" s="173"/>
      <c r="B63" s="174"/>
      <c r="G63" s="287" t="s">
        <v>531</v>
      </c>
      <c r="J63" s="261">
        <f ca="1">IF(Rasitusluokka=1,INDIRECT("Rakennekertoimet!D"&amp;60+Kiinnikkeet),IF(Rasitusluokka=2,INDIRECT("Rakennekertoimet!e"&amp;60+Kiinnikkeet),IF(Rasitusluokka=3,INDIRECT("Rakennekertoimet!f"&amp;60+Kiinnikkeet))))</f>
        <v>0.8</v>
      </c>
      <c r="K63" s="183" t="s">
        <v>230</v>
      </c>
    </row>
    <row r="64" spans="1:11" s="27" customFormat="1" ht="409.5">
      <c r="A64" s="173"/>
      <c r="B64" s="174"/>
      <c r="G64"/>
      <c r="H64"/>
      <c r="K64" s="9"/>
    </row>
    <row r="65" spans="4:11" ht="409.5">
      <c r="D65" s="27"/>
      <c r="I65" s="175" t="s">
        <v>249</v>
      </c>
      <c r="J65" s="11">
        <f>MIN(KerroinB1,KerroinB2,KerroinB3)</f>
        <v>0.8</v>
      </c>
      <c r="K65" s="9"/>
    </row>
    <row r="66" spans="4:11" ht="409.5">
      <c r="D66" s="27"/>
      <c r="I66" t="s">
        <v>244</v>
      </c>
      <c r="J66" s="11">
        <f>((KerroinB1+KerroinB2+KerroinB3)-J65)/2</f>
        <v>0.9025000000000002</v>
      </c>
      <c r="K66" s="9"/>
    </row>
    <row r="67" spans="4:10" ht="409.5">
      <c r="D67" s="27"/>
      <c r="I67" s="176" t="s">
        <v>45</v>
      </c>
      <c r="J67" s="11">
        <f>J66*J65</f>
        <v>0.7220000000000002</v>
      </c>
    </row>
    <row r="68" spans="1:11" ht="409.5">
      <c r="A68" s="178" t="s">
        <v>387</v>
      </c>
      <c r="H68" s="177"/>
      <c r="I68" s="9"/>
      <c r="J68" s="10"/>
      <c r="K68" s="9"/>
    </row>
    <row r="69" spans="1:11" ht="409.5">
      <c r="A69" s="178"/>
      <c r="H69" s="177"/>
      <c r="I69" s="9"/>
      <c r="J69" s="10"/>
      <c r="K69" s="9"/>
    </row>
    <row r="70" spans="1:11" ht="409.5">
      <c r="A70" s="18" t="s">
        <v>235</v>
      </c>
      <c r="I70" s="9"/>
      <c r="J70" s="10"/>
      <c r="K70" s="9"/>
    </row>
    <row r="71" spans="1:11" ht="409.5">
      <c r="A71" s="178"/>
      <c r="I71" s="9"/>
      <c r="J71" s="10"/>
      <c r="K71" s="9"/>
    </row>
    <row r="72" spans="1:11" ht="36">
      <c r="A72" s="138" t="s">
        <v>168</v>
      </c>
      <c r="B72" s="71">
        <v>3</v>
      </c>
      <c r="D72" s="182" t="s">
        <v>253</v>
      </c>
      <c r="F72" s="2">
        <v>0.5</v>
      </c>
      <c r="I72" t="s">
        <v>177</v>
      </c>
      <c r="J72" s="214">
        <f ca="1">INDIRECT("Rakennekertoimet!d"&amp;69+Tuuletusvali)</f>
        <v>0.95</v>
      </c>
      <c r="K72" s="183" t="s">
        <v>230</v>
      </c>
    </row>
    <row r="73" spans="1:11" ht="409.5">
      <c r="A73" s="138"/>
      <c r="B73" s="138"/>
      <c r="C73" s="138"/>
      <c r="I73" s="9"/>
      <c r="J73" s="10"/>
      <c r="K73" s="9"/>
    </row>
    <row r="74" spans="1:11" ht="36">
      <c r="A74" s="145" t="s">
        <v>173</v>
      </c>
      <c r="B74" s="71">
        <v>3</v>
      </c>
      <c r="C74" s="20"/>
      <c r="D74" s="185" t="s">
        <v>254</v>
      </c>
      <c r="F74" s="2">
        <v>0.2</v>
      </c>
      <c r="I74" t="s">
        <v>176</v>
      </c>
      <c r="J74" s="10">
        <f>IF(Tuuletusvali_yht=1,1,IF(Tuuletusvali_yht=2,1,IF(Tuuletusvali_yht=3,0.95,IF(Tuuletusvali_yht=4,0.9,0.8))))</f>
        <v>0.95</v>
      </c>
      <c r="K74" s="9"/>
    </row>
    <row r="75" spans="1:11" ht="409.5">
      <c r="A75" s="145"/>
      <c r="B75" s="20"/>
      <c r="C75" s="20"/>
      <c r="I75" s="9"/>
      <c r="J75" s="10"/>
      <c r="K75" s="9"/>
    </row>
    <row r="76" spans="1:11" ht="51">
      <c r="A76" s="145" t="s">
        <v>181</v>
      </c>
      <c r="B76" s="71">
        <v>3</v>
      </c>
      <c r="D76" t="s">
        <v>255</v>
      </c>
      <c r="I76" s="9"/>
      <c r="J76" s="10"/>
      <c r="K76" s="9"/>
    </row>
    <row r="77" spans="1:11" ht="409.5">
      <c r="A77" t="s">
        <v>229</v>
      </c>
      <c r="B77" s="71">
        <v>2</v>
      </c>
      <c r="D77" t="s">
        <v>237</v>
      </c>
      <c r="F77" s="2">
        <v>0.3</v>
      </c>
      <c r="I77" t="s">
        <v>183</v>
      </c>
      <c r="J77" s="261">
        <f ca="1">IF(Kuristuskapple=1,INDIRECT("Rakennekertoimet!D"&amp;85+Tuuletus_kuristus),IF(Kuristuskapple=2,INDIRECT("Rakennekertoimet!e"&amp;85+Tuuletus_kuristus),IF(Kuristuskapple=3,INDIRECT("Rakennekertoimet!f"&amp;85+Tuuletus_kuristus),INDIRECT("Rakennekertoimet!g"&amp;85+Tuuletus_kuristus))))</f>
        <v>0.95</v>
      </c>
      <c r="K77" s="183" t="s">
        <v>230</v>
      </c>
    </row>
    <row r="78" spans="2:11" ht="409.5">
      <c r="B78"/>
      <c r="I78" s="9"/>
      <c r="J78" s="210"/>
      <c r="K78" s="20"/>
    </row>
    <row r="79" spans="1:10" s="20" customFormat="1" ht="15.75">
      <c r="A79" s="269" t="s">
        <v>492</v>
      </c>
      <c r="B79" s="71">
        <v>3</v>
      </c>
      <c r="D79" s="283" t="s">
        <v>501</v>
      </c>
      <c r="E79" s="269"/>
      <c r="F79" s="269"/>
      <c r="G79" s="269"/>
      <c r="I79" s="14" t="s">
        <v>491</v>
      </c>
      <c r="J79" s="25">
        <f>IF(KatonKaltevuus=1,1,IF(KatonKaltevuus=2,0.95,0.9))</f>
        <v>0.9</v>
      </c>
    </row>
    <row r="80" spans="1:10" s="20" customFormat="1" ht="15.75">
      <c r="A80" s="267"/>
      <c r="C80" s="278"/>
      <c r="D80" s="268"/>
      <c r="E80" s="267"/>
      <c r="F80" s="267"/>
      <c r="G80" s="267"/>
      <c r="I80" s="14"/>
      <c r="J80" s="179"/>
    </row>
    <row r="81" spans="1:10" s="20" customFormat="1" ht="27.75" customHeight="1">
      <c r="A81" s="269" t="s">
        <v>497</v>
      </c>
      <c r="B81" s="71">
        <v>3</v>
      </c>
      <c r="D81" s="159" t="s">
        <v>532</v>
      </c>
      <c r="E81" s="269"/>
      <c r="F81" s="269"/>
      <c r="G81" s="269"/>
      <c r="I81" s="14" t="s">
        <v>496</v>
      </c>
      <c r="J81" s="25">
        <f>IF(Tuulenpaine=1,1.05,IF(Tuulenpaine=2,1,0.95))</f>
        <v>0.95</v>
      </c>
    </row>
    <row r="82" spans="2:9" s="20" customFormat="1" ht="15.75">
      <c r="B82" s="267"/>
      <c r="D82" s="159"/>
      <c r="E82" s="267"/>
      <c r="F82" s="267"/>
      <c r="G82" s="267"/>
      <c r="I82" s="14"/>
    </row>
    <row r="83" spans="1:7" s="20" customFormat="1" ht="15.75">
      <c r="A83" s="14"/>
      <c r="B83" s="267"/>
      <c r="D83" s="159"/>
      <c r="E83" s="267"/>
      <c r="F83" s="267"/>
      <c r="G83" s="267"/>
    </row>
    <row r="84" spans="1:11" ht="409.5">
      <c r="A84" s="145"/>
      <c r="B84" s="145"/>
      <c r="C84" s="145"/>
      <c r="I84" s="176" t="s">
        <v>193</v>
      </c>
      <c r="J84" s="212">
        <f>(J72*F72)+(J74*F74)+(F77*J77)*B1dKate*B1eKate</f>
        <v>0.908675</v>
      </c>
      <c r="K84" s="9"/>
    </row>
    <row r="85" spans="1:11" ht="409.5">
      <c r="A85" s="18" t="s">
        <v>224</v>
      </c>
      <c r="I85" s="9"/>
      <c r="J85" s="10"/>
      <c r="K85" s="9"/>
    </row>
    <row r="86" spans="1:11" ht="24">
      <c r="A86" s="20" t="s">
        <v>220</v>
      </c>
      <c r="B86" s="71">
        <v>2</v>
      </c>
      <c r="D86" s="138" t="s">
        <v>234</v>
      </c>
      <c r="I86" s="176" t="s">
        <v>201</v>
      </c>
      <c r="J86" s="11">
        <f>IF(Alusta=1,1,IF(Alusta=2,0.9,0.8))</f>
        <v>0.9</v>
      </c>
      <c r="K86" s="9"/>
    </row>
    <row r="87" spans="1:11" ht="409.5">
      <c r="A87" s="145"/>
      <c r="B87" s="145"/>
      <c r="C87" s="145"/>
      <c r="I87" s="176"/>
      <c r="J87" s="212"/>
      <c r="K87" s="9"/>
    </row>
    <row r="88" spans="1:12" ht="409.5">
      <c r="A88" s="18" t="s">
        <v>32</v>
      </c>
      <c r="B88" s="71">
        <v>2</v>
      </c>
      <c r="D88" t="s">
        <v>35</v>
      </c>
      <c r="I88" s="176" t="s">
        <v>203</v>
      </c>
      <c r="J88" s="214">
        <f ca="1">IF(OnkoRuostumaton="R",INDIRECT("Rakennekertoimet!e"&amp;107+Detaljit),INDIRECT("Rakennekertoimet!D"&amp;107+Detaljit))</f>
        <v>0.7</v>
      </c>
      <c r="K88" s="262" t="s">
        <v>233</v>
      </c>
      <c r="L88" s="290"/>
    </row>
    <row r="89" spans="1:11" ht="409.5">
      <c r="A89" s="20"/>
      <c r="B89" s="20"/>
      <c r="I89" s="9"/>
      <c r="J89" s="9"/>
      <c r="K89" s="9"/>
    </row>
    <row r="90" spans="1:11" ht="36">
      <c r="A90" s="18" t="s">
        <v>33</v>
      </c>
      <c r="B90" s="71">
        <v>1</v>
      </c>
      <c r="D90" s="138" t="s">
        <v>232</v>
      </c>
      <c r="I90" s="176" t="s">
        <v>238</v>
      </c>
      <c r="J90" s="214">
        <f ca="1">IF(OnkoRuostumaton="R",INDIRECT("Rakennekertoimet!e"&amp;111+KatteenKiinnitystapa),INDIRECT("Rakennekertoimet!d"&amp;111+KatteenKiinnitystapa))</f>
        <v>1</v>
      </c>
      <c r="K90" s="183" t="s">
        <v>233</v>
      </c>
    </row>
    <row r="92" spans="1:11" ht="409.5">
      <c r="A92" s="18" t="s">
        <v>533</v>
      </c>
      <c r="B92" s="71">
        <v>2</v>
      </c>
      <c r="D92" s="20" t="s">
        <v>535</v>
      </c>
      <c r="I92" s="176" t="s">
        <v>534</v>
      </c>
      <c r="J92" s="2">
        <f>IF(MuutRakennetekijat=1,1,0.9)</f>
        <v>0.9</v>
      </c>
      <c r="K92" s="9"/>
    </row>
    <row r="93" spans="2:11" ht="409.5">
      <c r="B93"/>
      <c r="D93" s="20"/>
      <c r="I93" s="9"/>
      <c r="J93" s="10"/>
      <c r="K93" s="9"/>
    </row>
    <row r="94" spans="9:10" ht="409.5">
      <c r="I94" t="s">
        <v>243</v>
      </c>
      <c r="J94" s="11">
        <f>MIN(KerroinB1Kate,KerroinB2Kate,KerroinB4Kate,KerroinB5Kate,KerroinB6Kate)</f>
        <v>0.7</v>
      </c>
    </row>
    <row r="95" spans="1:11" ht="18" customHeight="1">
      <c r="A95" s="20"/>
      <c r="B95" s="20"/>
      <c r="C95" s="20"/>
      <c r="D95" s="138"/>
      <c r="I95" t="s">
        <v>244</v>
      </c>
      <c r="J95" s="216">
        <f>((KerroinB1Kate+KerroinB2Kate+KerroinB4Kate+KerroinB5Kate+KerroinB6Kate)-J94)/4</f>
        <v>0.9271687500000001</v>
      </c>
      <c r="K95" s="9"/>
    </row>
    <row r="96" spans="1:11" ht="409.5">
      <c r="A96" s="178"/>
      <c r="I96" s="18" t="s">
        <v>45</v>
      </c>
      <c r="J96" s="11">
        <f>J94*J95</f>
        <v>0.649018125</v>
      </c>
      <c r="K96" s="9"/>
    </row>
    <row r="97" spans="1:11" ht="409.5">
      <c r="A97" s="145"/>
      <c r="B97" s="145"/>
      <c r="C97" s="145"/>
      <c r="K97" s="9"/>
    </row>
    <row r="98" spans="1:11" ht="409.5">
      <c r="A98" s="178" t="s">
        <v>552</v>
      </c>
      <c r="B98" s="14"/>
      <c r="F98" s="179"/>
      <c r="J98" s="216"/>
      <c r="K98" s="9"/>
    </row>
    <row r="99" spans="1:11" ht="409.5">
      <c r="A99" s="178"/>
      <c r="B99" s="14"/>
      <c r="F99" s="179"/>
      <c r="J99" s="216"/>
      <c r="K99" s="9"/>
    </row>
    <row r="100" spans="1:11" ht="409.5">
      <c r="A100" s="18" t="s">
        <v>350</v>
      </c>
      <c r="B100" s="14"/>
      <c r="F100" s="179"/>
      <c r="J100" s="216"/>
      <c r="K100" s="9"/>
    </row>
    <row r="101" spans="1:11" ht="48">
      <c r="A101" t="s">
        <v>351</v>
      </c>
      <c r="B101" s="71">
        <v>4</v>
      </c>
      <c r="D101" s="138" t="s">
        <v>478</v>
      </c>
      <c r="F101" s="179">
        <v>0.3</v>
      </c>
      <c r="I101" t="s">
        <v>177</v>
      </c>
      <c r="J101" s="11">
        <f>IF(TuulTotKKJS=1,1,IF(TuulTotKKJS=2,0.9,IF(TuulTotKKJS=3,0.85,0.8)))</f>
        <v>0.8</v>
      </c>
      <c r="K101" s="9"/>
    </row>
    <row r="102" spans="1:11" ht="37.5" customHeight="1">
      <c r="A102" t="s">
        <v>352</v>
      </c>
      <c r="B102" s="71">
        <v>2</v>
      </c>
      <c r="D102" s="138" t="s">
        <v>479</v>
      </c>
      <c r="F102" s="179">
        <v>0.2</v>
      </c>
      <c r="I102" t="s">
        <v>176</v>
      </c>
      <c r="J102" s="216">
        <f>IF(TuulJakKKJS=1,1,0.9)</f>
        <v>0.9</v>
      </c>
      <c r="K102" s="9"/>
    </row>
    <row r="103" spans="1:11" ht="26.25" customHeight="1">
      <c r="A103" t="s">
        <v>353</v>
      </c>
      <c r="B103" s="71">
        <v>1</v>
      </c>
      <c r="D103" s="138" t="s">
        <v>480</v>
      </c>
      <c r="F103" s="179">
        <v>0.5</v>
      </c>
      <c r="I103" t="s">
        <v>183</v>
      </c>
      <c r="J103" s="11">
        <f>IF(LasinSateiKKJS=1,1,0.85)</f>
        <v>1</v>
      </c>
      <c r="K103" s="9"/>
    </row>
    <row r="104" spans="2:11" ht="409.5">
      <c r="B104" s="14"/>
      <c r="F104" s="179"/>
      <c r="I104" s="176" t="s">
        <v>193</v>
      </c>
      <c r="J104" s="212">
        <f>F101*B1aKKJS+F102*B1bKKJS+F103*B1cKKJS</f>
        <v>0.92</v>
      </c>
      <c r="K104" s="9"/>
    </row>
    <row r="105" spans="1:11" ht="409.5">
      <c r="A105" s="18" t="s">
        <v>354</v>
      </c>
      <c r="B105" s="14"/>
      <c r="F105" s="179"/>
      <c r="J105" s="216"/>
      <c r="K105" s="9"/>
    </row>
    <row r="106" spans="1:11" ht="36">
      <c r="A106" s="138" t="s">
        <v>355</v>
      </c>
      <c r="B106" s="71">
        <v>1</v>
      </c>
      <c r="D106" s="138" t="s">
        <v>481</v>
      </c>
      <c r="F106" s="179"/>
      <c r="I106" t="s">
        <v>195</v>
      </c>
      <c r="J106" s="11">
        <f>IF(SadevesiKKJS=1,1,0.95)</f>
        <v>1</v>
      </c>
      <c r="K106" s="9"/>
    </row>
    <row r="107" spans="1:11" ht="24">
      <c r="A107" s="138" t="s">
        <v>356</v>
      </c>
      <c r="B107" s="71">
        <v>1</v>
      </c>
      <c r="D107" s="138" t="s">
        <v>482</v>
      </c>
      <c r="F107" s="179"/>
      <c r="I107" t="s">
        <v>198</v>
      </c>
      <c r="J107" s="11">
        <f>IF(KallistetPintaKKJS=1,0.95,IF(KallistetPintaKKJS=2,0.9,IF(KallistetPintaKKJS=3,0.85,0.8)))</f>
        <v>0.95</v>
      </c>
      <c r="K107" s="9"/>
    </row>
    <row r="108" spans="2:11" ht="409.5">
      <c r="B108" s="14"/>
      <c r="F108" s="179"/>
      <c r="I108" s="176" t="s">
        <v>201</v>
      </c>
      <c r="J108" s="216">
        <f>B2aKKJS*B2bKKJS</f>
        <v>0.95</v>
      </c>
      <c r="K108" s="9"/>
    </row>
    <row r="109" spans="1:11" ht="409.5">
      <c r="A109" s="18" t="s">
        <v>357</v>
      </c>
      <c r="B109" s="14"/>
      <c r="F109" s="179"/>
      <c r="J109" s="216"/>
      <c r="K109" s="9"/>
    </row>
    <row r="110" spans="1:11" ht="36">
      <c r="A110" t="s">
        <v>358</v>
      </c>
      <c r="B110" s="71">
        <v>2</v>
      </c>
      <c r="D110" s="138" t="s">
        <v>483</v>
      </c>
      <c r="F110" s="179"/>
      <c r="I110" t="s">
        <v>451</v>
      </c>
      <c r="J110" s="11">
        <f>IF(IlmavaliSyvKKJS=1,1,IF(IlmavaliSyvKKJS=2,0.95,0.9))</f>
        <v>0.95</v>
      </c>
      <c r="K110" s="9"/>
    </row>
    <row r="111" spans="1:11" ht="36">
      <c r="A111" t="s">
        <v>359</v>
      </c>
      <c r="B111" s="71">
        <v>1</v>
      </c>
      <c r="D111" s="138" t="s">
        <v>484</v>
      </c>
      <c r="F111" s="179"/>
      <c r="I111" t="s">
        <v>456</v>
      </c>
      <c r="J111" s="11">
        <f>IF(IlmavaliHuoltoKKJS=1,1,IF(IlmavaliHuoltoKKJS=2,0.95,0.9))</f>
        <v>1</v>
      </c>
      <c r="K111" s="9"/>
    </row>
    <row r="112" spans="2:11" ht="409.5">
      <c r="B112" s="14"/>
      <c r="F112" s="179"/>
      <c r="I112" s="176" t="s">
        <v>202</v>
      </c>
      <c r="J112" s="216">
        <f>B3aKKJS*B3bKKJS</f>
        <v>0.95</v>
      </c>
      <c r="K112" s="9"/>
    </row>
    <row r="113" spans="1:11" ht="48">
      <c r="A113" s="18" t="s">
        <v>360</v>
      </c>
      <c r="B113" s="71">
        <v>3</v>
      </c>
      <c r="D113" s="138" t="s">
        <v>485</v>
      </c>
      <c r="F113" s="179"/>
      <c r="I113" s="176" t="s">
        <v>203</v>
      </c>
      <c r="J113" s="11">
        <f>IF(IlmavaliLaatuKKJS=1,1,IF(IlmavaliLaatuKKJS=2,0.95,0.8))</f>
        <v>0.8</v>
      </c>
      <c r="K113" s="9"/>
    </row>
    <row r="114" spans="2:11" ht="409.5">
      <c r="B114" s="14"/>
      <c r="F114" s="179"/>
      <c r="J114" s="216"/>
      <c r="K114" s="9"/>
    </row>
    <row r="115" spans="1:11" ht="60">
      <c r="A115" s="18" t="s">
        <v>361</v>
      </c>
      <c r="B115" s="71">
        <v>2</v>
      </c>
      <c r="D115" s="138" t="s">
        <v>486</v>
      </c>
      <c r="F115" s="179"/>
      <c r="I115" s="176" t="s">
        <v>238</v>
      </c>
      <c r="J115" s="11">
        <f>IF(LampoLiikKKJS=1,1,IF(LampoLiikKKJS=2,0.9,0.8))</f>
        <v>0.9</v>
      </c>
      <c r="K115" s="9"/>
    </row>
    <row r="116" spans="1:11" ht="409.5">
      <c r="A116" s="143"/>
      <c r="B116" s="14"/>
      <c r="K116" s="9"/>
    </row>
    <row r="117" spans="1:11" ht="409.5">
      <c r="A117" s="143"/>
      <c r="B117" s="14"/>
      <c r="I117" s="176" t="s">
        <v>487</v>
      </c>
      <c r="J117" s="11">
        <f>J118*J119</f>
        <v>0.7440000000000002</v>
      </c>
      <c r="K117" s="9"/>
    </row>
    <row r="118" spans="2:11" ht="409.5">
      <c r="B118" s="14"/>
      <c r="I118" t="s">
        <v>488</v>
      </c>
      <c r="J118" s="291">
        <f>MIN(J104,J108,J112,J113,J115)</f>
        <v>0.8</v>
      </c>
      <c r="K118" s="9"/>
    </row>
    <row r="119" spans="2:11" ht="409.5">
      <c r="B119" s="14"/>
      <c r="F119" s="179"/>
      <c r="I119" t="s">
        <v>489</v>
      </c>
      <c r="J119" s="291">
        <f>((J104+J108+J112+J113+J115)-J118)/4</f>
        <v>0.9300000000000002</v>
      </c>
      <c r="K119" s="9"/>
    </row>
    <row r="120" spans="1:11" ht="409.5">
      <c r="A120" s="178" t="s">
        <v>538</v>
      </c>
      <c r="K120" s="9"/>
    </row>
    <row r="121" spans="2:11" ht="409.5">
      <c r="B121" s="14"/>
      <c r="F121" s="179"/>
      <c r="J121" s="216"/>
      <c r="K121" s="9"/>
    </row>
    <row r="122" spans="1:11" ht="409.5">
      <c r="A122" s="18" t="s">
        <v>506</v>
      </c>
      <c r="B122" s="14"/>
      <c r="F122" s="179"/>
      <c r="J122" s="216"/>
      <c r="K122" s="9"/>
    </row>
    <row r="123" spans="1:11" ht="24.75" customHeight="1">
      <c r="A123" t="s">
        <v>507</v>
      </c>
      <c r="B123" s="71">
        <v>3</v>
      </c>
      <c r="D123" s="138" t="s">
        <v>511</v>
      </c>
      <c r="F123" s="179"/>
      <c r="I123" t="s">
        <v>508</v>
      </c>
      <c r="J123" s="11">
        <f>IF(KylmasiltRUNKO=1,1,IF(KylmasiltRUNKO=2,0.95,0.85))</f>
        <v>0.85</v>
      </c>
      <c r="K123" s="9"/>
    </row>
    <row r="124" spans="2:11" ht="13.5" customHeight="1">
      <c r="B124"/>
      <c r="D124" s="138"/>
      <c r="F124" s="179"/>
      <c r="J124" s="11"/>
      <c r="K124" s="9"/>
    </row>
    <row r="125" spans="1:11" ht="24" customHeight="1">
      <c r="A125" s="18" t="s">
        <v>553</v>
      </c>
      <c r="B125" s="71">
        <v>3</v>
      </c>
      <c r="D125" s="138" t="s">
        <v>512</v>
      </c>
      <c r="F125" s="179"/>
      <c r="I125" t="s">
        <v>509</v>
      </c>
      <c r="J125" s="261">
        <f ca="1">IF(F16="P",INDIRECT("Rakennekertoimet!e"&amp;193+UlkoRUNKO),INDIRECT("Rakennekertoimet!d"&amp;193+UlkoRUNKO))</f>
        <v>0.9</v>
      </c>
      <c r="K125" s="261" t="s">
        <v>233</v>
      </c>
    </row>
    <row r="126" spans="2:11" ht="15" customHeight="1">
      <c r="B126"/>
      <c r="D126" s="138"/>
      <c r="F126" s="179"/>
      <c r="I126" s="176" t="s">
        <v>510</v>
      </c>
      <c r="J126" s="216">
        <f>KerroinB1Runko*KerroinB2Runko</f>
        <v>0.765</v>
      </c>
      <c r="K126" s="9"/>
    </row>
    <row r="127" spans="2:11" ht="17.25" customHeight="1">
      <c r="B127"/>
      <c r="D127" s="138"/>
      <c r="F127" s="179"/>
      <c r="K127" s="9"/>
    </row>
    <row r="128" spans="2:11" ht="17.25" customHeight="1">
      <c r="B128"/>
      <c r="D128" s="138"/>
      <c r="F128" s="179"/>
      <c r="I128" s="186" t="s">
        <v>45</v>
      </c>
      <c r="J128" s="213">
        <f>IF(Rakenne=3,KerroinBKKJS,IF(Rakenne=4,KerroinBKate,IF(Rakenne=5,KerroinBRunko,KerroinBJS)))</f>
        <v>0.765</v>
      </c>
      <c r="K128" s="9"/>
    </row>
    <row r="129" spans="1:11" ht="409.5">
      <c r="A129" s="178" t="s">
        <v>362</v>
      </c>
      <c r="B129" s="14"/>
      <c r="F129" s="179"/>
      <c r="J129" s="216"/>
      <c r="K129" s="9"/>
    </row>
    <row r="130" spans="1:11" ht="409.5">
      <c r="A130" s="20"/>
      <c r="B130" s="72"/>
      <c r="F130" s="179"/>
      <c r="J130" s="10"/>
      <c r="K130" s="9"/>
    </row>
    <row r="131" spans="1:11" ht="36">
      <c r="A131" s="20" t="s">
        <v>60</v>
      </c>
      <c r="B131" s="71">
        <v>1</v>
      </c>
      <c r="D131" s="138" t="s">
        <v>542</v>
      </c>
      <c r="F131" s="179"/>
      <c r="I131" s="9" t="s">
        <v>39</v>
      </c>
      <c r="J131" s="258">
        <f>IF(KuljetusVarastointiJS=1,1,IF(KuljetusVarastointiJS=2,0.9,IF(KuljetusVarastointiJS=3,0.8,0.7)))</f>
        <v>1</v>
      </c>
      <c r="K131" s="9"/>
    </row>
    <row r="132" spans="4:11" ht="409.5">
      <c r="D132" s="138"/>
      <c r="F132" s="179"/>
      <c r="I132" s="18"/>
      <c r="J132" s="258"/>
      <c r="K132" s="9"/>
    </row>
    <row r="133" spans="1:11" ht="24">
      <c r="A133" s="20" t="s">
        <v>61</v>
      </c>
      <c r="B133" s="71">
        <v>1</v>
      </c>
      <c r="D133" s="138" t="s">
        <v>75</v>
      </c>
      <c r="F133" s="179"/>
      <c r="I133" s="9" t="s">
        <v>40</v>
      </c>
      <c r="J133" s="258">
        <f>IF(VarastointiLampoKosteus=1,1,0.8)</f>
        <v>1</v>
      </c>
      <c r="K133" s="9"/>
    </row>
    <row r="134" spans="1:11" ht="24">
      <c r="A134" s="20" t="s">
        <v>62</v>
      </c>
      <c r="B134" s="71">
        <v>1</v>
      </c>
      <c r="D134" s="138" t="s">
        <v>363</v>
      </c>
      <c r="F134" s="179"/>
      <c r="I134" s="9" t="s">
        <v>41</v>
      </c>
      <c r="J134" s="258">
        <f>IF(LeikkausmenetelmaJS=1,1,0.7)</f>
        <v>1</v>
      </c>
      <c r="K134" s="9"/>
    </row>
    <row r="135" spans="4:11" ht="409.5">
      <c r="D135" s="138"/>
      <c r="K135" s="9"/>
    </row>
    <row r="136" spans="1:11" ht="24">
      <c r="A136" s="20" t="s">
        <v>64</v>
      </c>
      <c r="B136" s="71">
        <v>1</v>
      </c>
      <c r="D136" s="138" t="s">
        <v>365</v>
      </c>
      <c r="F136" s="179"/>
      <c r="I136" s="9" t="s">
        <v>65</v>
      </c>
      <c r="J136" s="258">
        <f>IF(LeikkausreunojenSuojausJS=1,1,0.85)</f>
        <v>1</v>
      </c>
      <c r="K136" s="9"/>
    </row>
    <row r="137" spans="1:11" ht="24">
      <c r="A137" s="20" t="s">
        <v>63</v>
      </c>
      <c r="B137" s="71">
        <v>1</v>
      </c>
      <c r="D137" s="138" t="s">
        <v>364</v>
      </c>
      <c r="F137" s="179"/>
      <c r="I137" s="9" t="s">
        <v>66</v>
      </c>
      <c r="J137" s="258">
        <f>IF(JatteidenPuhdistus=1,1,0.85)</f>
        <v>1</v>
      </c>
      <c r="K137" s="9"/>
    </row>
    <row r="138" spans="1:11" ht="409.5">
      <c r="A138" s="20"/>
      <c r="B138" s="72"/>
      <c r="F138" s="179"/>
      <c r="J138" s="10"/>
      <c r="K138" s="9"/>
    </row>
    <row r="139" spans="1:11" ht="409.5">
      <c r="A139" s="20"/>
      <c r="B139" s="72"/>
      <c r="F139" s="179"/>
      <c r="G139" s="179"/>
      <c r="H139" s="179"/>
      <c r="I139" s="186" t="s">
        <v>46</v>
      </c>
      <c r="J139" s="217">
        <f>(J131*J133*J134*J137*J136)</f>
        <v>1</v>
      </c>
      <c r="K139" s="9"/>
    </row>
    <row r="140" spans="1:11" ht="409.5">
      <c r="A140" s="178" t="s">
        <v>544</v>
      </c>
      <c r="B140" s="14"/>
      <c r="F140" s="179"/>
      <c r="I140" s="9"/>
      <c r="J140" s="10"/>
      <c r="K140" s="9"/>
    </row>
    <row r="141" spans="1:11" ht="409.5">
      <c r="A141" s="19"/>
      <c r="B141" s="14"/>
      <c r="F141" s="179"/>
      <c r="I141" s="9"/>
      <c r="J141" s="10"/>
      <c r="K141" s="9"/>
    </row>
    <row r="142" spans="1:11" ht="84">
      <c r="A142" s="18" t="s">
        <v>389</v>
      </c>
      <c r="B142" s="71">
        <v>1</v>
      </c>
      <c r="D142" s="138" t="s">
        <v>401</v>
      </c>
      <c r="F142" s="179"/>
      <c r="I142" s="205" t="s">
        <v>42</v>
      </c>
      <c r="J142" s="211">
        <f ca="1">INDIRECT("Toteutus_kaytto_huolto!d"&amp;55+SisailmaKate)</f>
        <v>1</v>
      </c>
      <c r="K142" s="262" t="s">
        <v>233</v>
      </c>
    </row>
    <row r="143" spans="9:11" ht="409.5">
      <c r="I143" s="20"/>
      <c r="K143" s="9"/>
    </row>
    <row r="144" spans="1:11" ht="24">
      <c r="A144" s="18" t="s">
        <v>38</v>
      </c>
      <c r="B144" s="71">
        <v>1</v>
      </c>
      <c r="D144" s="138" t="s">
        <v>400</v>
      </c>
      <c r="F144" s="179"/>
      <c r="I144" s="205" t="s">
        <v>415</v>
      </c>
      <c r="J144" s="211">
        <f ca="1">IF(OnkoRuostumaton="R",INDIRECT("Toteutus_kaytto_huolto!e"&amp;61+Liikenne),INDIRECT("Toteutus_kaytto_huolto!d"&amp;61+Liikenne))</f>
        <v>1</v>
      </c>
      <c r="K144" s="262" t="s">
        <v>233</v>
      </c>
    </row>
    <row r="145" spans="2:11" ht="409.5">
      <c r="B145" s="72"/>
      <c r="D145" s="138"/>
      <c r="F145" s="179"/>
      <c r="I145" s="9"/>
      <c r="J145" s="216"/>
      <c r="K145" s="9"/>
    </row>
    <row r="146" spans="2:11" ht="409.5">
      <c r="B146" s="72"/>
      <c r="F146" s="179"/>
      <c r="I146" s="176" t="s">
        <v>547</v>
      </c>
      <c r="J146" s="10">
        <f>KerroinD1Kate*KerroinD2Kate</f>
        <v>1</v>
      </c>
      <c r="K146" s="9"/>
    </row>
    <row r="147" spans="1:11" ht="409.5">
      <c r="A147" s="178" t="s">
        <v>549</v>
      </c>
      <c r="B147" s="72"/>
      <c r="F147" s="179"/>
      <c r="I147" s="9"/>
      <c r="J147" s="10"/>
      <c r="K147" s="9"/>
    </row>
    <row r="148" spans="1:11" ht="409.5">
      <c r="A148" t="s">
        <v>140</v>
      </c>
      <c r="B148" s="71">
        <v>0</v>
      </c>
      <c r="D148" s="142" t="s">
        <v>239</v>
      </c>
      <c r="F148" s="179"/>
      <c r="I148" s="9" t="s">
        <v>42</v>
      </c>
      <c r="J148" s="10">
        <f>IF(OnkoRuostumaton="R",1,IF(Tiensuolaus=1,0.85,1))</f>
        <v>1</v>
      </c>
      <c r="K148" s="9"/>
    </row>
    <row r="149" spans="2:11" ht="409.5">
      <c r="B149" s="72"/>
      <c r="F149" s="179"/>
      <c r="I149" s="9"/>
      <c r="J149" s="10"/>
      <c r="K149" s="9"/>
    </row>
    <row r="150" spans="1:11" ht="22.5">
      <c r="A150" t="s">
        <v>143</v>
      </c>
      <c r="B150" s="71">
        <v>3</v>
      </c>
      <c r="D150" s="181" t="s">
        <v>240</v>
      </c>
      <c r="F150" s="179"/>
      <c r="I150" s="9" t="s">
        <v>403</v>
      </c>
      <c r="J150" s="224">
        <f ca="1">IF(Tiensuolaus=1,INDIRECT("Toteutus_kaytto_huolto!D"&amp;34+Liikenteen_rasitukset),INDIRECT("Toteutus_kaytto_huolto!e"&amp;34+Liikenteen_rasitukset))</f>
        <v>1</v>
      </c>
      <c r="K150" s="9"/>
    </row>
    <row r="151" spans="2:11" ht="409.5">
      <c r="B151" s="72"/>
      <c r="D151" s="142"/>
      <c r="F151" s="179"/>
      <c r="I151" s="9"/>
      <c r="J151" s="10"/>
      <c r="K151" s="9"/>
    </row>
    <row r="152" spans="1:11" ht="36">
      <c r="A152" s="18" t="s">
        <v>145</v>
      </c>
      <c r="B152" s="71">
        <v>1</v>
      </c>
      <c r="D152" s="138" t="s">
        <v>241</v>
      </c>
      <c r="F152" s="179"/>
      <c r="I152" s="9" t="s">
        <v>415</v>
      </c>
      <c r="J152" s="10">
        <f ca="1">IF(OnkoRuostumaton="R",INDIRECT("Toteutus_kaytto_huolto!e"&amp;39+Julkisivun_suojauksen_taso),INDIRECT("Toteutus_kaytto_huolto!d"&amp;39+Julkisivun_suojauksen_taso))</f>
        <v>1</v>
      </c>
      <c r="K152" s="264"/>
    </row>
    <row r="153" spans="2:11" ht="409.5">
      <c r="B153"/>
      <c r="D153" s="27"/>
      <c r="F153" s="179"/>
      <c r="K153" s="9"/>
    </row>
    <row r="154" spans="1:11" ht="409.5">
      <c r="A154" t="s">
        <v>418</v>
      </c>
      <c r="B154" s="14">
        <f>IF(Rakenne=1,1,2)</f>
        <v>2</v>
      </c>
      <c r="K154" s="9"/>
    </row>
    <row r="155" spans="1:11" ht="60">
      <c r="A155" s="18" t="s">
        <v>389</v>
      </c>
      <c r="B155" s="71">
        <v>1</v>
      </c>
      <c r="D155" s="138" t="s">
        <v>419</v>
      </c>
      <c r="F155" s="179"/>
      <c r="I155" s="9" t="s">
        <v>242</v>
      </c>
      <c r="J155" s="259">
        <f ca="1">IF(OnkoTuuletettu=1,INDIRECT("Toteutus_kaytto_huolto!d"&amp;44+Sisailma),INDIRECT("Toteutus_kaytto_huolto!d"&amp;47+Sisailma))</f>
        <v>1</v>
      </c>
      <c r="K155" s="9"/>
    </row>
    <row r="156" spans="4:11" ht="60">
      <c r="D156" s="138" t="s">
        <v>420</v>
      </c>
      <c r="I156" s="176" t="s">
        <v>550</v>
      </c>
      <c r="J156" s="10">
        <f>IF(OnkoRuostumaton="R",KerroinD1a*KerroinD2*KerroinD3,KerroinD1Kate*KerroinD2Kate)</f>
        <v>1</v>
      </c>
      <c r="K156" s="9"/>
    </row>
    <row r="157" spans="2:11" ht="409.5">
      <c r="B157" s="14"/>
      <c r="F157" s="179"/>
      <c r="K157" s="9"/>
    </row>
    <row r="158" spans="1:11" ht="15.75">
      <c r="A158" s="178" t="s">
        <v>548</v>
      </c>
      <c r="B158" s="14"/>
      <c r="E158" s="267"/>
      <c r="F158" s="179"/>
      <c r="J158"/>
      <c r="K158" s="9"/>
    </row>
    <row r="159" spans="2:11" ht="30" customHeight="1">
      <c r="B159" s="71">
        <v>2</v>
      </c>
      <c r="D159" s="138" t="s">
        <v>557</v>
      </c>
      <c r="E159" s="267"/>
      <c r="F159" s="179"/>
      <c r="I159" s="176" t="s">
        <v>551</v>
      </c>
      <c r="J159" s="2">
        <f>IF(KayttoKKJS=1,1,0.9)</f>
        <v>0.9</v>
      </c>
      <c r="K159" s="9"/>
    </row>
    <row r="160" spans="2:11" ht="15.75">
      <c r="B160" s="14"/>
      <c r="D160" s="267"/>
      <c r="F160" s="179"/>
      <c r="J160"/>
      <c r="K160" s="9"/>
    </row>
    <row r="161" spans="1:11" ht="15.75">
      <c r="A161" s="178" t="s">
        <v>543</v>
      </c>
      <c r="B161" s="14"/>
      <c r="E161" s="267"/>
      <c r="F161" s="179"/>
      <c r="J161"/>
      <c r="K161" s="9"/>
    </row>
    <row r="162" spans="2:11" ht="36.75">
      <c r="B162" s="71">
        <v>2</v>
      </c>
      <c r="D162" s="138" t="s">
        <v>545</v>
      </c>
      <c r="E162" s="267"/>
      <c r="F162" s="179"/>
      <c r="I162" s="176" t="s">
        <v>546</v>
      </c>
      <c r="J162" s="2">
        <f>IF(KayttoRunko=1,0.9,1)</f>
        <v>1</v>
      </c>
      <c r="K162" s="9"/>
    </row>
    <row r="163" spans="2:11" ht="15.75">
      <c r="B163" s="14"/>
      <c r="D163" s="267"/>
      <c r="F163" s="179"/>
      <c r="J163"/>
      <c r="K163" s="9"/>
    </row>
    <row r="164" spans="2:11" ht="409.5">
      <c r="B164" s="14"/>
      <c r="F164" s="179"/>
      <c r="I164" s="186" t="s">
        <v>47</v>
      </c>
      <c r="J164" s="218">
        <f>IF(Rakenne=3,KerroinDKKJS,IF(Rakenne=4,KerroinDKate,IF(Rakenne=5,KerroinDRunko,KerroinDJS)))</f>
        <v>1</v>
      </c>
      <c r="K164" s="9"/>
    </row>
    <row r="165" ht="409.5">
      <c r="K165" s="9"/>
    </row>
    <row r="166" spans="1:13" ht="409.5">
      <c r="A166" s="178" t="s">
        <v>554</v>
      </c>
      <c r="B166" s="14"/>
      <c r="F166" s="179"/>
      <c r="J166" s="10"/>
      <c r="K166" s="9"/>
      <c r="M166" s="27"/>
    </row>
    <row r="167" spans="6:11" ht="409.5">
      <c r="F167" s="179"/>
      <c r="I167" s="9"/>
      <c r="J167" s="10"/>
      <c r="K167" s="9"/>
    </row>
    <row r="168" spans="1:11" ht="409.5">
      <c r="A168" t="s">
        <v>67</v>
      </c>
      <c r="B168" s="71">
        <v>1</v>
      </c>
      <c r="D168" t="s">
        <v>68</v>
      </c>
      <c r="F168" s="179"/>
      <c r="I168" s="205" t="s">
        <v>368</v>
      </c>
      <c r="J168" s="210">
        <f ca="1">IF(OnkoRuostumaton="R",INDIRECT("Toteutus_kaytto_huolto!e"&amp;66+HuollonTasoJS),INDIRECT("Toteutus_kaytto_huolto!d"&amp;66+HuollonTasoJS))</f>
        <v>1</v>
      </c>
      <c r="K168" s="9"/>
    </row>
    <row r="169" ht="409.5">
      <c r="A169" t="s">
        <v>69</v>
      </c>
    </row>
    <row r="170" spans="9:10" ht="409.5">
      <c r="I170" s="18"/>
      <c r="J170" s="11"/>
    </row>
    <row r="171" spans="1:10" ht="24">
      <c r="A171" t="s">
        <v>108</v>
      </c>
      <c r="B171" s="71">
        <v>2</v>
      </c>
      <c r="D171" s="138" t="s">
        <v>366</v>
      </c>
      <c r="J171" s="224"/>
    </row>
    <row r="172" spans="1:11" ht="409.5">
      <c r="A172" s="27" t="s">
        <v>367</v>
      </c>
      <c r="B172" s="72">
        <f>Materiaali</f>
        <v>2</v>
      </c>
      <c r="C172" s="27"/>
      <c r="D172" s="27" t="str">
        <f>D16</f>
        <v>Ferriittinen ruostumaton teräs EN 1.4509</v>
      </c>
      <c r="E172" s="27"/>
      <c r="F172" s="24"/>
      <c r="G172" s="27"/>
      <c r="H172" s="27"/>
      <c r="I172" s="27"/>
      <c r="J172" s="219"/>
      <c r="K172" s="27"/>
    </row>
    <row r="173" spans="2:11" s="27" customFormat="1" ht="409.5">
      <c r="B173" s="72"/>
      <c r="F173" s="24"/>
      <c r="I173" s="72" t="s">
        <v>40</v>
      </c>
      <c r="J173" s="296" t="s">
        <v>41</v>
      </c>
      <c r="K173" s="72" t="s">
        <v>65</v>
      </c>
    </row>
    <row r="174" spans="1:12" s="27" customFormat="1" ht="409.5">
      <c r="A174" t="s">
        <v>373</v>
      </c>
      <c r="B174" s="72"/>
      <c r="E174"/>
      <c r="F174" s="180"/>
      <c r="G174"/>
      <c r="H174"/>
      <c r="I174" s="297">
        <f ca="1">IF(HuollonTasoMaali=1,INDIRECT("Toteutus_kaytto_huolto!d"&amp;77+Maalityyppi),IF(HuollonTasoMaali=2,INDIRECT("Toteutus_kaytto_huolto!d"&amp;119+Maalityyppi),1))</f>
        <v>0</v>
      </c>
      <c r="J174" s="297">
        <f ca="1">IF(HuollonTasoMaali=1,INDIRECT("Toteutus_kaytto_huolto!d"&amp;91+Maalityyppi),IF(HuollonTasoMaali=2,INDIRECT("Toteutus_kaytto_huolto!d"&amp;133+Maalityyppi),1))</f>
        <v>0</v>
      </c>
      <c r="K174" s="297">
        <f ca="1">IF(HuollonTasoMaali=1,INDIRECT("Toteutus_kaytto_huolto!d"&amp;105+Maalityyppi),IF(HuollonTasoMaali=2,INDIRECT("Toteutus_kaytto_huolto!d"&amp;147+Maalityyppi),1))</f>
        <v>0</v>
      </c>
      <c r="L174" s="298" t="s">
        <v>233</v>
      </c>
    </row>
    <row r="175" spans="1:12" ht="409.5">
      <c r="A175" t="s">
        <v>374</v>
      </c>
      <c r="B175" s="72"/>
      <c r="F175" s="180"/>
      <c r="I175" s="297">
        <f ca="1">IF(HuollonTasoMaali=1,INDIRECT("Toteutus_kaytto_huolto!f"&amp;77+Maalityyppi),IF(HuollonTasoMaali=2,INDIRECT("Toteutus_kaytto_huolto!f"&amp;119+Maalityyppi),1))</f>
        <v>0</v>
      </c>
      <c r="J175" s="297">
        <f ca="1">IF(HuollonTasoMaali=1,INDIRECT("Toteutus_kaytto_huolto!f"&amp;91+Maalityyppi),IF(HuollonTasoMaali=2,INDIRECT("Toteutus_kaytto_huolto!f"&amp;133+Maalityyppi),1))</f>
        <v>0</v>
      </c>
      <c r="K175" s="297">
        <f ca="1">IF(HuollonTasoMaali=1,INDIRECT("Toteutus_kaytto_huolto!f"&amp;105+Maalityyppi),IF(HuollonTasoMaali=2,INDIRECT("Toteutus_kaytto_huolto!f"&amp;147+Maalityyppi),1))</f>
        <v>0</v>
      </c>
      <c r="L175" s="298" t="s">
        <v>233</v>
      </c>
    </row>
    <row r="176" spans="1:12" ht="409.5">
      <c r="A176" t="s">
        <v>370</v>
      </c>
      <c r="I176" s="297">
        <f ca="1">IF(HuollonTasoMaali=1,INDIRECT("Toteutus_kaytto_huolto!h"&amp;77+Maalityyppi),IF(HuollonTasoMaali=2,INDIRECT("Toteutus_kaytto_huolto!h"&amp;119+Maalityyppi),1))</f>
        <v>0</v>
      </c>
      <c r="J176" s="297">
        <f ca="1">IF(HuollonTasoMaali=1,INDIRECT("Toteutus_kaytto_huolto!h"&amp;91+Maalityyppi),IF(HuollonTasoMaali=2,INDIRECT("Toteutus_kaytto_huolto!h"&amp;133+Maalityyppi),1))</f>
        <v>0</v>
      </c>
      <c r="K176" s="297">
        <f ca="1">IF(HuollonTasoMaali=1,INDIRECT("Toteutus_kaytto_huolto!h"&amp;105+Maalityyppi),IF(HuollonTasoMaali=2,INDIRECT("Toteutus_kaytto_huolto!h"&amp;147+Maalityyppi),1))</f>
        <v>0</v>
      </c>
      <c r="L176" s="298" t="s">
        <v>233</v>
      </c>
    </row>
    <row r="177" spans="1:12" ht="409.5">
      <c r="A177" t="s">
        <v>371</v>
      </c>
      <c r="I177" s="297">
        <f ca="1">IF(HuollonTasoMaali=1,INDIRECT("Toteutus_kaytto_huolto!j"&amp;77+Maalityyppi),IF(HuollonTasoMaali=2,INDIRECT("Toteutus_kaytto_huolto!j"&amp;119+Maalityyppi),1))</f>
        <v>0</v>
      </c>
      <c r="J177" s="297">
        <f ca="1">IF(HuollonTasoMaali=1,INDIRECT("Toteutus_kaytto_huolto!j"&amp;91+Maalityyppi),IF(HuollonTasoMaali=2,INDIRECT("Toteutus_kaytto_huolto!j"&amp;133+Maalityyppi),1))</f>
        <v>0</v>
      </c>
      <c r="K177" s="297">
        <f ca="1">IF(HuollonTasoMaali=1,INDIRECT("Toteutus_kaytto_huolto!j"&amp;105+Maalityyppi),IF(HuollonTasoMaali=2,INDIRECT("Toteutus_kaytto_huolto!j"&amp;147+Maalityyppi),1))</f>
        <v>0</v>
      </c>
      <c r="L177" s="298" t="s">
        <v>233</v>
      </c>
    </row>
    <row r="178" spans="1:12" ht="409.5">
      <c r="A178" t="s">
        <v>372</v>
      </c>
      <c r="I178" s="192">
        <f ca="1">IF(HuollonTasoMaali=1,INDIRECT("Toteutus_kaytto_huolto!l"&amp;77+Maalityyppi),IF(HuollonTasoMaali=2,INDIRECT("Toteutus_kaytto_huolto!l"&amp;119+Maalityyppi),1))</f>
        <v>0</v>
      </c>
      <c r="J178" s="192">
        <f ca="1">IF(HuollonTasoMaali=1,INDIRECT("Toteutus_kaytto_huolto!l"&amp;99+Maalityyppi),IF(HuollonTasoMaali=2,INDIRECT("Toteutus_kaytto_huolto!l"&amp;133+Maalityyppi),1))</f>
        <v>0</v>
      </c>
      <c r="K178" s="192">
        <f ca="1">IF(HuollonTasoMaali=1,INDIRECT("Toteutus_kaytto_huolto!l"&amp;105+Maalityyppi),IF(HuollonTasoMaali=2,INDIRECT("Toteutus_kaytto_huolto!l"&amp;147+Maalityyppi),1))</f>
        <v>0</v>
      </c>
      <c r="L178" s="298" t="s">
        <v>233</v>
      </c>
    </row>
    <row r="179" spans="9:10" ht="409.5">
      <c r="I179" s="176" t="s">
        <v>369</v>
      </c>
      <c r="J179" s="13">
        <f ca="1">IF(Rasitusluokka=1,INDIRECT("I"&amp;173+Rakenne),IF(Rasitusluokka=2,INDIRECT("j"&amp;173+Rakenne),INDIRECT("k"&amp;173+Rakenne)))</f>
        <v>0</v>
      </c>
    </row>
    <row r="180" ht="409.5">
      <c r="J180" s="216"/>
    </row>
    <row r="181" spans="2:10" ht="409.5">
      <c r="B181" s="70"/>
      <c r="C181" s="27"/>
      <c r="I181" s="186" t="s">
        <v>48</v>
      </c>
      <c r="J181" s="301">
        <f>IF(KerroinG2=0,KerroinG1,IF(OR(G16="R",G16="M"),KerroinG1,KerroinG1*KerroinG2))</f>
        <v>1</v>
      </c>
    </row>
    <row r="182" spans="2:10" ht="409.5">
      <c r="B182" s="70"/>
      <c r="C182" s="27"/>
      <c r="J182" s="10"/>
    </row>
    <row r="183" spans="2:10" ht="18">
      <c r="B183" s="14"/>
      <c r="I183" s="299" t="s">
        <v>43</v>
      </c>
      <c r="J183" s="300">
        <f>RSLC*(KerroinA*KerroinB*KerroinC*KerroinD*KerroinG)*IF(Varmuustaso=1,1,IF(Varmuustaso=2,1.22,IF(Varmuustaso=3,1.56,1.86)))</f>
        <v>38.25</v>
      </c>
    </row>
    <row r="184" ht="409.5">
      <c r="J184"/>
    </row>
    <row r="185" ht="409.5">
      <c r="J185" s="10"/>
    </row>
    <row r="186" spans="1:10" ht="409.5">
      <c r="A186" s="22"/>
      <c r="B186"/>
      <c r="J186" s="10"/>
    </row>
    <row r="187" spans="2:10" ht="409.5">
      <c r="B187" s="4"/>
      <c r="C187" s="8"/>
      <c r="J187" s="10"/>
    </row>
    <row r="188" spans="2:10" ht="409.5">
      <c r="B188" s="73"/>
      <c r="J188" s="10"/>
    </row>
    <row r="189" spans="2:10" ht="409.5">
      <c r="B189" s="74"/>
      <c r="J189" s="10"/>
    </row>
    <row r="190" spans="2:6" ht="409.5">
      <c r="B190" s="74"/>
      <c r="F190" s="180"/>
    </row>
    <row r="191" ht="409.5">
      <c r="B191" s="4"/>
    </row>
    <row r="192" ht="409.5">
      <c r="B192"/>
    </row>
    <row r="193" spans="2:3" ht="409.5">
      <c r="B193" s="75"/>
      <c r="C193" s="23"/>
    </row>
    <row r="194" spans="2:3" ht="409.5">
      <c r="B194" s="75"/>
      <c r="C194" s="23"/>
    </row>
    <row r="195" spans="2:5" ht="409.5">
      <c r="B195" s="74"/>
      <c r="E195" s="8"/>
    </row>
    <row r="196" spans="2:3" ht="409.5">
      <c r="B196" s="76"/>
      <c r="C196" s="23"/>
    </row>
    <row r="197" ht="409.5">
      <c r="B197" s="4"/>
    </row>
    <row r="198" ht="409.5">
      <c r="B198" s="4"/>
    </row>
    <row r="199" ht="409.5">
      <c r="B199" s="4"/>
    </row>
    <row r="200" ht="409.5">
      <c r="B200" s="4"/>
    </row>
    <row r="201" ht="409.5">
      <c r="B201" s="73"/>
    </row>
    <row r="202" ht="409.5">
      <c r="B202" s="4"/>
    </row>
    <row r="203" ht="409.5">
      <c r="B203" s="75"/>
    </row>
    <row r="204" ht="409.5">
      <c r="B204" s="15"/>
    </row>
    <row r="205" spans="2:5" ht="409.5">
      <c r="B205" s="13"/>
      <c r="E205" s="4"/>
    </row>
    <row r="206" spans="2:5" ht="409.5">
      <c r="B206" s="13"/>
      <c r="E206" s="4"/>
    </row>
    <row r="207" spans="1:5" ht="409.5">
      <c r="A207" s="30"/>
      <c r="B207" s="93"/>
      <c r="C207" s="30"/>
      <c r="E207" s="4"/>
    </row>
    <row r="208" spans="1:5" ht="409.5">
      <c r="A208" s="30"/>
      <c r="B208" s="94"/>
      <c r="C208" s="30"/>
      <c r="E208" s="4"/>
    </row>
    <row r="209" spans="2:5" ht="409.5">
      <c r="B209" s="13"/>
      <c r="E209" s="4"/>
    </row>
    <row r="210" spans="1:5" ht="409.5">
      <c r="A210" s="18"/>
      <c r="B210" s="13"/>
      <c r="E210" s="4"/>
    </row>
    <row r="211" spans="2:40" ht="409.5">
      <c r="B211" s="13"/>
      <c r="E211" s="4"/>
      <c r="AK211" s="2"/>
      <c r="AL211" s="6"/>
      <c r="AM211" s="25"/>
      <c r="AN211" s="2"/>
    </row>
    <row r="212" spans="2:40" ht="409.5">
      <c r="B212" s="13"/>
      <c r="E212" s="4"/>
      <c r="AK212" s="2"/>
      <c r="AL212" s="2"/>
      <c r="AM212" s="2"/>
      <c r="AN212" s="12"/>
    </row>
    <row r="213" spans="2:40" ht="409.5">
      <c r="B213" s="13"/>
      <c r="E213" s="4"/>
      <c r="AK213" s="2"/>
      <c r="AL213" s="2"/>
      <c r="AM213" s="2"/>
      <c r="AN213" s="12"/>
    </row>
    <row r="214" spans="37:40" ht="409.5">
      <c r="AK214" s="2"/>
      <c r="AL214" s="2"/>
      <c r="AM214" s="2"/>
      <c r="AN214" s="12"/>
    </row>
    <row r="215" spans="1:40" ht="409.5">
      <c r="A215" s="18"/>
      <c r="AK215" s="2"/>
      <c r="AL215" s="2"/>
      <c r="AM215" s="2"/>
      <c r="AN215" s="13"/>
    </row>
    <row r="216" spans="5:65" ht="409.5">
      <c r="E216" s="16"/>
      <c r="G216" s="2"/>
      <c r="H216" s="2"/>
      <c r="I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13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7:65" ht="409.5">
      <c r="G217" s="3"/>
      <c r="H217" s="3"/>
      <c r="I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7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5:65" ht="409.5">
      <c r="E218" s="14"/>
      <c r="G218" s="2"/>
      <c r="H218" s="2"/>
      <c r="I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7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5:65" ht="409.5">
      <c r="E219" s="14"/>
      <c r="G219" s="2"/>
      <c r="H219" s="2"/>
      <c r="I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7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5:65" ht="409.5">
      <c r="E220" s="24"/>
      <c r="G220" s="8"/>
      <c r="H220" s="2"/>
      <c r="I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7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5:65" ht="409.5">
      <c r="E221" s="14"/>
      <c r="G221" s="2"/>
      <c r="H221" s="2"/>
      <c r="I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7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5:65" ht="409.5">
      <c r="E222" s="2"/>
      <c r="G222" s="2"/>
      <c r="H222" s="2"/>
      <c r="I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7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5:65" ht="409.5">
      <c r="E223" s="24"/>
      <c r="G223" s="2"/>
      <c r="H223" s="2"/>
      <c r="I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7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7:65" ht="409.5">
      <c r="G224" s="7"/>
      <c r="H224" s="2"/>
      <c r="I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6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6"/>
      <c r="AN224" s="7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7:65" ht="409.5">
      <c r="G225" s="13"/>
      <c r="H225" s="2"/>
      <c r="I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5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5"/>
      <c r="AN225" s="7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5:65" ht="409.5">
      <c r="E226" s="14"/>
      <c r="G226" s="2"/>
      <c r="H226" s="7"/>
      <c r="I226" s="7"/>
      <c r="J226" s="7"/>
      <c r="K226" s="7"/>
      <c r="L226" s="7"/>
      <c r="M226" s="7"/>
      <c r="N226" s="7"/>
      <c r="O226" s="7"/>
      <c r="P226" s="13"/>
      <c r="Q226" s="13"/>
      <c r="R226" s="12"/>
      <c r="S226" s="12"/>
      <c r="T226" s="12"/>
      <c r="U226" s="2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13"/>
      <c r="AI226" s="13"/>
      <c r="AJ226" s="12"/>
      <c r="AK226" s="12"/>
      <c r="AL226" s="12"/>
      <c r="AM226" s="2"/>
      <c r="AN226" s="7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5:65" ht="409.5">
      <c r="E227" s="2"/>
      <c r="H227" s="2"/>
      <c r="I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7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5:65" ht="409.5">
      <c r="E228" s="16"/>
      <c r="G228" s="2"/>
      <c r="H228" s="2"/>
      <c r="I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7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7:65" ht="409.5">
      <c r="G229" s="2"/>
      <c r="H229" s="2"/>
      <c r="I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5:65" ht="409.5">
      <c r="E230" s="14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5:65" ht="409.5">
      <c r="E231" s="2"/>
      <c r="G231" s="2"/>
      <c r="H231" s="2"/>
      <c r="I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5:65" ht="409.5">
      <c r="E232" s="24"/>
      <c r="G232" s="2"/>
      <c r="H232" s="2"/>
      <c r="I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5:65" ht="409.5">
      <c r="E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5:65" ht="409.5">
      <c r="E234" s="2"/>
      <c r="G234" s="2"/>
      <c r="H234" s="2"/>
      <c r="I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5:65" ht="409.5">
      <c r="E235" s="14"/>
      <c r="G235" s="2"/>
      <c r="H235" s="2"/>
      <c r="I235" s="13"/>
      <c r="J235" s="13"/>
      <c r="K235" s="13"/>
      <c r="L235" s="13"/>
      <c r="M235" s="13"/>
      <c r="N235" s="13"/>
      <c r="O235" s="1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5:65" ht="409.5">
      <c r="E236" s="2"/>
      <c r="G236" s="2"/>
      <c r="H236" s="2"/>
      <c r="I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5:65" ht="409.5">
      <c r="E237" s="24"/>
      <c r="G237" s="2"/>
      <c r="H237" s="2"/>
      <c r="I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7:65" ht="409.5">
      <c r="G238" s="2"/>
      <c r="H238" s="2"/>
      <c r="I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5:65" ht="409.5">
      <c r="E239" s="14"/>
      <c r="G239" s="2"/>
      <c r="H239" s="77"/>
      <c r="I239" s="2"/>
      <c r="J239" s="77"/>
      <c r="K239" s="2"/>
      <c r="L239" s="77"/>
      <c r="M239" s="2"/>
      <c r="N239" s="7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5:65" ht="409.5">
      <c r="E240" s="2"/>
      <c r="G240" s="2"/>
      <c r="H240" s="2"/>
      <c r="I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5:65" ht="409.5">
      <c r="E241" s="24"/>
      <c r="G241" s="2"/>
      <c r="H241" s="2"/>
      <c r="I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7:65" ht="409.5">
      <c r="G242" s="2"/>
      <c r="H242" s="2"/>
      <c r="I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5:65" ht="409.5">
      <c r="E243" s="14"/>
      <c r="G243" s="2"/>
      <c r="H243" s="2"/>
      <c r="I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5:65" ht="409.5">
      <c r="E244" s="2"/>
      <c r="G244" s="2"/>
      <c r="H244" s="2"/>
      <c r="I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5:65" ht="409.5">
      <c r="E245" s="24"/>
      <c r="G245" s="2"/>
      <c r="H245" s="2"/>
      <c r="I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7:65" ht="409.5">
      <c r="G246" s="2"/>
      <c r="H246" s="2"/>
      <c r="I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5:65" ht="409.5">
      <c r="E247" s="14"/>
      <c r="G247" s="2"/>
      <c r="H247" s="2"/>
      <c r="I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5:65" ht="409.5">
      <c r="E248" s="2"/>
      <c r="G248" s="2"/>
      <c r="H248" s="2"/>
      <c r="I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5:65" ht="409.5">
      <c r="E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5:65" ht="409.5">
      <c r="E250" s="2"/>
      <c r="G250" s="2"/>
      <c r="H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5:65" ht="409.5">
      <c r="E251" s="14"/>
      <c r="G251" s="2"/>
      <c r="H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5:65" ht="409.5">
      <c r="E252" s="2"/>
      <c r="G252" s="2"/>
      <c r="H252" s="2"/>
      <c r="I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5:65" ht="409.5">
      <c r="E253" s="2"/>
      <c r="G253" s="2"/>
      <c r="H253" s="2"/>
      <c r="I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409.5">
      <c r="A254" s="8"/>
      <c r="E254" s="2"/>
      <c r="G254" s="2"/>
      <c r="H254" s="2"/>
      <c r="I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5:65" ht="409.5">
      <c r="E255" s="13"/>
      <c r="G255" s="2"/>
      <c r="H255" s="2"/>
      <c r="I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5:65" ht="409.5">
      <c r="E256" s="13"/>
      <c r="G256" s="2"/>
      <c r="H256" s="2"/>
      <c r="I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8" ht="409.5">
      <c r="E258" s="24"/>
    </row>
    <row r="260" ht="409.5">
      <c r="E260" s="14"/>
    </row>
    <row r="263" spans="5:15" ht="409.5">
      <c r="E263" s="24"/>
      <c r="O263" s="24"/>
    </row>
    <row r="264" spans="7:26" ht="409.5">
      <c r="G264" s="1"/>
      <c r="H264" s="1"/>
      <c r="I264" s="1"/>
      <c r="J264" s="3"/>
      <c r="K264" s="1"/>
      <c r="L264" s="1"/>
      <c r="M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5:15" ht="12" customHeight="1">
      <c r="E265" s="14"/>
      <c r="O265" s="14"/>
    </row>
    <row r="267" ht="409.5">
      <c r="E267" s="24"/>
    </row>
    <row r="268" spans="7:12" ht="409.5">
      <c r="G268" s="4"/>
      <c r="H268" s="4"/>
      <c r="I268" s="4"/>
      <c r="J268" s="13"/>
      <c r="K268" s="4"/>
      <c r="L268" s="4"/>
    </row>
    <row r="269" ht="409.5">
      <c r="E269" s="14"/>
    </row>
    <row r="271" ht="409.5">
      <c r="E271" s="2"/>
    </row>
    <row r="272" ht="409.5">
      <c r="E272" s="2"/>
    </row>
    <row r="273" spans="5:53" ht="409.5">
      <c r="E273" s="14"/>
      <c r="G273" s="73"/>
      <c r="H273" s="73"/>
      <c r="I273" s="73"/>
      <c r="J273" s="77"/>
      <c r="K273" s="73"/>
      <c r="L273" s="73"/>
      <c r="M273" s="73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ht="409.5">
      <c r="E274" s="2"/>
    </row>
    <row r="275" ht="409.5">
      <c r="E275" s="24"/>
    </row>
    <row r="276" ht="409.5">
      <c r="E276" s="24"/>
    </row>
    <row r="277" spans="5:15" ht="409.5">
      <c r="E277" s="2"/>
      <c r="O277" s="15"/>
    </row>
    <row r="278" spans="5:15" ht="409.5">
      <c r="E278" s="17"/>
      <c r="H278" s="5"/>
      <c r="I278" s="5"/>
      <c r="J278" s="7"/>
      <c r="K278" s="5"/>
      <c r="L278" s="5"/>
      <c r="M278" s="5"/>
      <c r="N278" s="5"/>
      <c r="O278" s="5"/>
    </row>
    <row r="279" spans="8:15" ht="409.5">
      <c r="H279" s="5"/>
      <c r="I279" s="5"/>
      <c r="J279" s="7"/>
      <c r="K279" s="5"/>
      <c r="L279" s="5"/>
      <c r="M279" s="5"/>
      <c r="N279" s="5"/>
      <c r="O279" s="5"/>
    </row>
    <row r="280" spans="8:15" ht="409.5">
      <c r="H280" s="5"/>
      <c r="I280" s="5"/>
      <c r="J280" s="7"/>
      <c r="K280" s="5"/>
      <c r="L280" s="5"/>
      <c r="M280" s="5"/>
      <c r="N280" s="5"/>
      <c r="O280" s="5"/>
    </row>
    <row r="281" spans="8:15" ht="409.5">
      <c r="H281" s="5"/>
      <c r="I281" s="5"/>
      <c r="J281" s="7"/>
      <c r="K281" s="5"/>
      <c r="L281" s="5"/>
      <c r="M281" s="5"/>
      <c r="N281" s="5"/>
      <c r="O281" s="5"/>
    </row>
    <row r="282" spans="4:15" ht="409.5">
      <c r="D282" s="9"/>
      <c r="H282" s="5"/>
      <c r="I282" s="5"/>
      <c r="J282" s="7"/>
      <c r="K282" s="5"/>
      <c r="L282" s="5"/>
      <c r="M282" s="5"/>
      <c r="N282" s="5"/>
      <c r="O282" s="5"/>
    </row>
    <row r="283" spans="4:15" ht="409.5">
      <c r="D283" s="9"/>
      <c r="H283" s="5"/>
      <c r="I283" s="5"/>
      <c r="J283" s="7"/>
      <c r="K283" s="5"/>
      <c r="L283" s="5"/>
      <c r="M283" s="5"/>
      <c r="N283" s="5"/>
      <c r="O283" s="5"/>
    </row>
    <row r="284" spans="8:15" ht="409.5">
      <c r="H284" s="5"/>
      <c r="I284" s="5"/>
      <c r="J284" s="7"/>
      <c r="K284" s="5"/>
      <c r="L284" s="5"/>
      <c r="M284" s="5"/>
      <c r="N284" s="5"/>
      <c r="O284" s="5"/>
    </row>
    <row r="285" spans="8:15" ht="409.5">
      <c r="H285" s="5"/>
      <c r="I285" s="5"/>
      <c r="J285" s="7"/>
      <c r="K285" s="5"/>
      <c r="L285" s="5"/>
      <c r="M285" s="5"/>
      <c r="N285" s="5"/>
      <c r="O285" s="5"/>
    </row>
    <row r="286" spans="8:15" ht="409.5">
      <c r="H286" s="5"/>
      <c r="I286" s="5"/>
      <c r="J286" s="7"/>
      <c r="K286" s="5"/>
      <c r="L286" s="5"/>
      <c r="M286" s="5"/>
      <c r="N286" s="5"/>
      <c r="O286" s="5"/>
    </row>
    <row r="287" spans="8:15" ht="409.5">
      <c r="H287" s="5"/>
      <c r="I287" s="5"/>
      <c r="J287" s="7"/>
      <c r="K287" s="5"/>
      <c r="L287" s="5"/>
      <c r="M287" s="5"/>
      <c r="N287" s="5"/>
      <c r="O287" s="5"/>
    </row>
    <row r="288" spans="8:15" ht="409.5">
      <c r="H288" s="5"/>
      <c r="I288" s="5"/>
      <c r="J288" s="7"/>
      <c r="K288" s="5"/>
      <c r="L288" s="5"/>
      <c r="M288" s="5"/>
      <c r="N288" s="5"/>
      <c r="O288" s="5"/>
    </row>
    <row r="289" spans="8:15" ht="409.5">
      <c r="H289" s="5"/>
      <c r="I289" s="5"/>
      <c r="J289" s="7"/>
      <c r="K289" s="5"/>
      <c r="L289" s="5"/>
      <c r="M289" s="5"/>
      <c r="N289" s="5"/>
      <c r="O289" s="5"/>
    </row>
    <row r="290" spans="8:15" ht="409.5">
      <c r="H290" s="5"/>
      <c r="I290" s="5"/>
      <c r="J290" s="7"/>
      <c r="K290" s="5"/>
      <c r="L290" s="5"/>
      <c r="M290" s="5"/>
      <c r="N290" s="5"/>
      <c r="O290" s="5"/>
    </row>
    <row r="291" spans="8:15" ht="409.5">
      <c r="H291" s="5"/>
      <c r="I291" s="5"/>
      <c r="J291" s="7"/>
      <c r="K291" s="5"/>
      <c r="L291" s="5"/>
      <c r="M291" s="5"/>
      <c r="N291" s="5"/>
      <c r="O291" s="5"/>
    </row>
    <row r="292" spans="8:15" ht="409.5">
      <c r="H292" s="5"/>
      <c r="I292" s="5"/>
      <c r="J292" s="7"/>
      <c r="K292" s="5"/>
      <c r="L292" s="5"/>
      <c r="M292" s="5"/>
      <c r="N292" s="5"/>
      <c r="O292" s="5"/>
    </row>
    <row r="293" spans="8:15" ht="409.5">
      <c r="H293" s="5"/>
      <c r="I293" s="5"/>
      <c r="J293" s="7"/>
      <c r="K293" s="5"/>
      <c r="L293" s="5"/>
      <c r="M293" s="5"/>
      <c r="N293" s="5"/>
      <c r="O293" s="5"/>
    </row>
    <row r="294" spans="8:15" ht="409.5">
      <c r="H294" s="5"/>
      <c r="I294" s="5"/>
      <c r="J294" s="7"/>
      <c r="K294" s="5"/>
      <c r="L294" s="5"/>
      <c r="M294" s="5"/>
      <c r="N294" s="5"/>
      <c r="O294" s="5"/>
    </row>
    <row r="295" spans="8:15" ht="409.5">
      <c r="H295" s="5"/>
      <c r="I295" s="5"/>
      <c r="J295" s="7"/>
      <c r="K295" s="5"/>
      <c r="L295" s="5"/>
      <c r="M295" s="5"/>
      <c r="N295" s="5"/>
      <c r="O295" s="5"/>
    </row>
    <row r="296" spans="8:15" ht="409.5">
      <c r="H296" s="5"/>
      <c r="I296" s="5"/>
      <c r="J296" s="7"/>
      <c r="K296" s="5"/>
      <c r="L296" s="5"/>
      <c r="M296" s="5"/>
      <c r="N296" s="5"/>
      <c r="O296" s="5"/>
    </row>
    <row r="297" spans="8:15" ht="409.5">
      <c r="H297" s="5"/>
      <c r="I297" s="5"/>
      <c r="J297" s="7"/>
      <c r="K297" s="5"/>
      <c r="L297" s="5"/>
      <c r="M297" s="5"/>
      <c r="N297" s="5"/>
      <c r="O297" s="5"/>
    </row>
    <row r="298" spans="8:15" ht="409.5">
      <c r="H298" s="5"/>
      <c r="I298" s="5"/>
      <c r="J298" s="7"/>
      <c r="K298" s="5"/>
      <c r="L298" s="5"/>
      <c r="M298" s="5"/>
      <c r="N298" s="5"/>
      <c r="O298" s="5"/>
    </row>
    <row r="300" spans="5:14" ht="409.5">
      <c r="E300" s="24"/>
      <c r="G300" s="2"/>
      <c r="H300" s="2"/>
      <c r="I300" s="2"/>
      <c r="K300" s="2"/>
      <c r="L300" s="2"/>
      <c r="M300" s="2"/>
      <c r="N300" s="2"/>
    </row>
    <row r="301" spans="7:16" ht="409.5">
      <c r="G301" s="2"/>
      <c r="H301" s="2"/>
      <c r="I301" s="2"/>
      <c r="K301" s="2"/>
      <c r="L301" s="2"/>
      <c r="M301" s="2"/>
      <c r="N301" s="2"/>
      <c r="P301" s="5"/>
    </row>
    <row r="302" spans="5:14" ht="409.5">
      <c r="E302" s="14"/>
      <c r="G302" s="2"/>
      <c r="H302" s="77"/>
      <c r="I302" s="2"/>
      <c r="J302" s="77"/>
      <c r="K302" s="2"/>
      <c r="L302" s="77"/>
      <c r="M302" s="2"/>
      <c r="N302" s="77"/>
    </row>
    <row r="304" ht="409.5">
      <c r="E304" s="24"/>
    </row>
    <row r="305" spans="7:11" ht="409.5">
      <c r="G305" s="9"/>
      <c r="H305" s="9"/>
      <c r="I305" s="9"/>
      <c r="K305" s="9"/>
    </row>
    <row r="306" spans="5:11" ht="409.5">
      <c r="E306" s="14"/>
      <c r="G306" s="9"/>
      <c r="H306" s="9"/>
      <c r="I306" s="9"/>
      <c r="K306" s="9"/>
    </row>
    <row r="308" spans="5:7" ht="409.5">
      <c r="E308" s="24"/>
      <c r="G308" s="2"/>
    </row>
    <row r="309" spans="7:8" ht="409.5">
      <c r="G309" s="2"/>
      <c r="H309" s="2"/>
    </row>
    <row r="310" spans="5:8" ht="409.5">
      <c r="E310" s="14"/>
      <c r="G310" s="2"/>
      <c r="H310" s="2"/>
    </row>
    <row r="312" spans="5:24" ht="409.5">
      <c r="E312" s="4"/>
      <c r="I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5:24" ht="409.5">
      <c r="E313" s="16"/>
      <c r="H313" s="78"/>
      <c r="I313" s="79"/>
      <c r="J313" s="80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81"/>
    </row>
    <row r="314" spans="5:24" ht="409.5">
      <c r="E314" s="16"/>
      <c r="H314" s="8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83"/>
    </row>
    <row r="315" spans="5:24" ht="409.5">
      <c r="E315" s="2"/>
      <c r="G315" s="2"/>
      <c r="H315" s="82"/>
      <c r="I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84"/>
    </row>
    <row r="316" spans="5:24" ht="409.5">
      <c r="E316" s="2"/>
      <c r="G316" s="2"/>
      <c r="H316" s="82"/>
      <c r="I316" s="11"/>
      <c r="J316" s="7"/>
      <c r="K316" s="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84"/>
    </row>
    <row r="317" spans="5:24" ht="409.5">
      <c r="E317" s="17"/>
      <c r="G317" s="2"/>
      <c r="H317" s="82"/>
      <c r="I317" s="1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84"/>
    </row>
    <row r="318" spans="7:24" ht="409.5">
      <c r="G318" s="2"/>
      <c r="H318" s="82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85"/>
    </row>
    <row r="319" spans="7:24" ht="409.5">
      <c r="G319" s="2"/>
      <c r="H319" s="82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85"/>
    </row>
    <row r="320" spans="7:24" ht="409.5">
      <c r="G320" s="2"/>
      <c r="H320" s="82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85"/>
    </row>
    <row r="321" spans="7:24" ht="409.5">
      <c r="G321" s="2"/>
      <c r="H321" s="82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85"/>
    </row>
    <row r="322" spans="7:24" ht="409.5">
      <c r="G322" s="2"/>
      <c r="H322" s="82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85"/>
    </row>
    <row r="323" spans="7:24" ht="409.5">
      <c r="G323" s="2"/>
      <c r="H323" s="82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85"/>
    </row>
    <row r="324" spans="7:24" ht="409.5">
      <c r="G324" s="2"/>
      <c r="H324" s="82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85"/>
    </row>
    <row r="325" spans="7:24" ht="409.5">
      <c r="G325" s="2"/>
      <c r="H325" s="82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85"/>
    </row>
    <row r="326" spans="7:24" ht="409.5">
      <c r="G326" s="2"/>
      <c r="H326" s="82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85"/>
    </row>
    <row r="327" spans="7:24" ht="409.5">
      <c r="G327" s="2"/>
      <c r="H327" s="82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85"/>
    </row>
    <row r="328" spans="7:24" ht="409.5">
      <c r="G328" s="2"/>
      <c r="H328" s="82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85"/>
    </row>
    <row r="329" spans="7:24" ht="409.5">
      <c r="G329" s="2"/>
      <c r="H329" s="82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85"/>
    </row>
    <row r="330" spans="7:24" ht="409.5">
      <c r="G330" s="2"/>
      <c r="H330" s="82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85"/>
    </row>
    <row r="331" spans="7:24" ht="409.5">
      <c r="G331" s="2"/>
      <c r="H331" s="82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85"/>
    </row>
    <row r="332" spans="7:24" ht="409.5">
      <c r="G332" s="2"/>
      <c r="H332" s="82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85"/>
    </row>
    <row r="333" spans="7:24" ht="409.5">
      <c r="G333" s="2"/>
      <c r="H333" s="82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85"/>
    </row>
    <row r="334" spans="7:24" ht="409.5">
      <c r="G334" s="2"/>
      <c r="H334" s="82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85"/>
    </row>
    <row r="335" spans="7:24" ht="409.5">
      <c r="G335" s="2"/>
      <c r="H335" s="82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85"/>
    </row>
    <row r="336" spans="7:24" ht="409.5">
      <c r="G336" s="2"/>
      <c r="H336" s="82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85"/>
    </row>
    <row r="337" spans="7:24" ht="409.5">
      <c r="G337" s="2"/>
      <c r="H337" s="82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85"/>
    </row>
    <row r="338" spans="7:24" ht="409.5">
      <c r="G338" s="2"/>
      <c r="H338" s="82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85"/>
    </row>
    <row r="339" spans="7:24" ht="409.5">
      <c r="G339" s="2"/>
      <c r="H339" s="82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85"/>
    </row>
    <row r="340" spans="7:24" ht="409.5">
      <c r="G340" s="2"/>
      <c r="H340" s="82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85"/>
    </row>
    <row r="341" spans="7:24" ht="409.5">
      <c r="G341" s="2"/>
      <c r="H341" s="82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85"/>
    </row>
    <row r="342" spans="7:24" ht="409.5">
      <c r="G342" s="2"/>
      <c r="H342" s="82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85"/>
    </row>
    <row r="343" spans="7:24" ht="409.5">
      <c r="G343" s="2"/>
      <c r="H343" s="82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85"/>
    </row>
    <row r="344" spans="7:24" ht="409.5">
      <c r="G344" s="2"/>
      <c r="H344" s="82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85"/>
    </row>
    <row r="345" spans="7:24" ht="409.5">
      <c r="G345" s="2"/>
      <c r="H345" s="82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85"/>
    </row>
    <row r="346" spans="7:24" ht="409.5">
      <c r="G346" s="2"/>
      <c r="H346" s="82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85"/>
    </row>
    <row r="347" spans="7:24" ht="409.5">
      <c r="G347" s="2"/>
      <c r="H347" s="82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85"/>
    </row>
    <row r="348" spans="7:24" ht="409.5">
      <c r="G348" s="2"/>
      <c r="H348" s="82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85"/>
    </row>
    <row r="349" spans="7:24" ht="409.5">
      <c r="G349" s="2"/>
      <c r="H349" s="82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85"/>
    </row>
    <row r="350" spans="7:24" ht="409.5">
      <c r="G350" s="2"/>
      <c r="H350" s="82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85"/>
    </row>
    <row r="351" spans="7:24" ht="409.5">
      <c r="G351" s="2"/>
      <c r="H351" s="8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85"/>
    </row>
    <row r="352" spans="7:24" ht="409.5">
      <c r="G352" s="2"/>
      <c r="H352" s="82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85"/>
    </row>
    <row r="353" spans="7:24" ht="409.5">
      <c r="G353" s="2"/>
      <c r="H353" s="82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85"/>
    </row>
    <row r="354" spans="7:24" ht="409.5">
      <c r="G354" s="2"/>
      <c r="H354" s="82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85"/>
    </row>
    <row r="355" spans="7:24" ht="409.5">
      <c r="G355" s="2"/>
      <c r="H355" s="82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85"/>
    </row>
    <row r="356" spans="7:24" ht="409.5">
      <c r="G356" s="2"/>
      <c r="H356" s="82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85"/>
    </row>
    <row r="357" spans="7:24" ht="409.5">
      <c r="G357" s="2"/>
      <c r="H357" s="82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85"/>
    </row>
    <row r="358" spans="7:24" ht="409.5">
      <c r="G358" s="2"/>
      <c r="H358" s="82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85"/>
    </row>
    <row r="359" spans="7:24" ht="409.5">
      <c r="G359" s="2"/>
      <c r="H359" s="82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85"/>
    </row>
    <row r="360" spans="7:24" ht="409.5">
      <c r="G360" s="2"/>
      <c r="H360" s="82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85"/>
    </row>
    <row r="361" spans="7:24" ht="409.5">
      <c r="G361" s="2"/>
      <c r="H361" s="82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85"/>
    </row>
    <row r="362" spans="7:24" ht="409.5">
      <c r="G362" s="2"/>
      <c r="H362" s="82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85"/>
    </row>
    <row r="363" spans="7:24" ht="409.5">
      <c r="G363" s="2"/>
      <c r="H363" s="82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85"/>
    </row>
    <row r="364" spans="7:24" ht="409.5">
      <c r="G364" s="2"/>
      <c r="H364" s="82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85"/>
    </row>
    <row r="365" spans="7:24" ht="409.5">
      <c r="G365" s="2"/>
      <c r="H365" s="82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85"/>
    </row>
    <row r="366" spans="7:24" ht="409.5">
      <c r="G366" s="2"/>
      <c r="H366" s="82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85"/>
    </row>
    <row r="367" spans="7:24" ht="409.5">
      <c r="G367" s="2"/>
      <c r="H367" s="82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85"/>
    </row>
    <row r="368" spans="7:24" ht="409.5">
      <c r="G368" s="2"/>
      <c r="H368" s="82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85"/>
    </row>
    <row r="369" spans="7:24" ht="409.5">
      <c r="G369" s="2"/>
      <c r="H369" s="82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85"/>
    </row>
    <row r="370" spans="7:24" ht="409.5">
      <c r="G370" s="2"/>
      <c r="H370" s="82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85"/>
    </row>
    <row r="371" spans="7:24" ht="409.5">
      <c r="G371" s="2"/>
      <c r="H371" s="82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85"/>
    </row>
    <row r="372" spans="7:24" ht="409.5">
      <c r="G372" s="2"/>
      <c r="H372" s="82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85"/>
    </row>
    <row r="373" spans="7:24" ht="409.5">
      <c r="G373" s="84"/>
      <c r="H373" s="82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85"/>
    </row>
    <row r="374" spans="7:24" ht="409.5">
      <c r="G374" s="10"/>
      <c r="H374" s="79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7"/>
      <c r="X374" s="87"/>
    </row>
    <row r="375" spans="8:22" ht="409.5">
      <c r="H375" s="10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ht="409.5">
      <c r="E376" s="2"/>
    </row>
    <row r="377" spans="5:8" ht="409.5">
      <c r="E377" s="2"/>
      <c r="G377" s="2"/>
      <c r="H377" s="2"/>
    </row>
    <row r="378" spans="5:8" ht="409.5">
      <c r="E378" s="14"/>
      <c r="G378" s="2"/>
      <c r="H378" s="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165"/>
  <sheetViews>
    <sheetView showZeros="0" zoomScale="120" zoomScaleNormal="120" zoomScalePageLayoutView="0" workbookViewId="0" topLeftCell="A40">
      <selection activeCell="C71" sqref="C71"/>
    </sheetView>
  </sheetViews>
  <sheetFormatPr defaultColWidth="8.8515625" defaultRowHeight="12.75"/>
  <cols>
    <col min="1" max="1" width="23.57421875" style="120" customWidth="1"/>
    <col min="2" max="2" width="19.57421875" style="120" customWidth="1"/>
    <col min="3" max="3" width="16.8515625" style="120" customWidth="1"/>
    <col min="4" max="4" width="16.7109375" style="122" customWidth="1"/>
    <col min="5" max="5" width="17.00390625" style="122" customWidth="1"/>
    <col min="6" max="6" width="17.140625" style="122" customWidth="1"/>
    <col min="7" max="7" width="18.140625" style="122" customWidth="1"/>
    <col min="8" max="8" width="19.421875" style="122" customWidth="1"/>
    <col min="9" max="9" width="13.57421875" style="120" customWidth="1"/>
    <col min="10" max="10" width="4.8515625" style="120" customWidth="1"/>
    <col min="11" max="11" width="4.421875" style="120" customWidth="1"/>
    <col min="12" max="13" width="4.8515625" style="120" customWidth="1"/>
    <col min="14" max="14" width="4.57421875" style="120" customWidth="1"/>
    <col min="15" max="15" width="8.8515625" style="120" customWidth="1"/>
    <col min="16" max="16" width="16.8515625" style="120" customWidth="1"/>
    <col min="17" max="17" width="16.7109375" style="122" customWidth="1"/>
    <col min="18" max="18" width="17.00390625" style="122" customWidth="1"/>
    <col min="19" max="19" width="17.140625" style="122" customWidth="1"/>
    <col min="20" max="20" width="18.140625" style="122" customWidth="1"/>
    <col min="21" max="21" width="19.421875" style="122" customWidth="1"/>
    <col min="22" max="16384" width="8.8515625" style="120" customWidth="1"/>
  </cols>
  <sheetData>
    <row r="1" ht="18">
      <c r="A1" s="153" t="s">
        <v>217</v>
      </c>
    </row>
    <row r="2" spans="4:21" ht="22.5">
      <c r="D2" s="121" t="s">
        <v>277</v>
      </c>
      <c r="E2" s="121" t="s">
        <v>278</v>
      </c>
      <c r="F2" s="121" t="s">
        <v>279</v>
      </c>
      <c r="G2" s="121" t="s">
        <v>280</v>
      </c>
      <c r="H2" s="121" t="s">
        <v>281</v>
      </c>
      <c r="J2" s="121" t="s">
        <v>277</v>
      </c>
      <c r="K2" s="121" t="s">
        <v>278</v>
      </c>
      <c r="L2" s="121" t="s">
        <v>279</v>
      </c>
      <c r="M2" s="121" t="s">
        <v>280</v>
      </c>
      <c r="N2" s="121" t="s">
        <v>281</v>
      </c>
      <c r="Q2" s="121" t="s">
        <v>277</v>
      </c>
      <c r="R2" s="121" t="s">
        <v>278</v>
      </c>
      <c r="S2" s="121" t="s">
        <v>279</v>
      </c>
      <c r="T2" s="121" t="s">
        <v>280</v>
      </c>
      <c r="U2" s="121" t="s">
        <v>281</v>
      </c>
    </row>
    <row r="3" spans="4:21" ht="23.25" customHeight="1">
      <c r="D3" s="121" t="s">
        <v>82</v>
      </c>
      <c r="E3" s="121" t="s">
        <v>83</v>
      </c>
      <c r="F3" s="121" t="s">
        <v>259</v>
      </c>
      <c r="G3" s="121" t="s">
        <v>84</v>
      </c>
      <c r="H3" s="121" t="s">
        <v>85</v>
      </c>
      <c r="J3" s="333" t="s">
        <v>307</v>
      </c>
      <c r="K3" s="333"/>
      <c r="L3" s="333"/>
      <c r="M3" s="333"/>
      <c r="N3" s="333"/>
      <c r="Q3" s="121" t="s">
        <v>82</v>
      </c>
      <c r="R3" s="121" t="s">
        <v>83</v>
      </c>
      <c r="S3" s="121" t="s">
        <v>259</v>
      </c>
      <c r="T3" s="121" t="s">
        <v>84</v>
      </c>
      <c r="U3" s="121" t="s">
        <v>85</v>
      </c>
    </row>
    <row r="4" spans="4:21" ht="11.25">
      <c r="D4" s="121"/>
      <c r="E4" s="121"/>
      <c r="F4" s="121"/>
      <c r="G4" s="121"/>
      <c r="H4" s="121"/>
      <c r="J4" s="123"/>
      <c r="K4" s="123"/>
      <c r="L4" s="123"/>
      <c r="M4" s="123"/>
      <c r="N4" s="123"/>
      <c r="Q4" s="121"/>
      <c r="R4" s="121"/>
      <c r="S4" s="121"/>
      <c r="T4" s="121"/>
      <c r="U4" s="121"/>
    </row>
    <row r="5" spans="2:21" ht="33" customHeight="1">
      <c r="B5" s="140" t="s">
        <v>94</v>
      </c>
      <c r="C5" s="122" t="s">
        <v>96</v>
      </c>
      <c r="D5" s="146" t="s">
        <v>269</v>
      </c>
      <c r="E5" s="190" t="s">
        <v>271</v>
      </c>
      <c r="F5" s="190" t="s">
        <v>282</v>
      </c>
      <c r="G5" s="146" t="s">
        <v>269</v>
      </c>
      <c r="H5" s="146" t="s">
        <v>110</v>
      </c>
      <c r="J5" s="197" t="s">
        <v>309</v>
      </c>
      <c r="K5" s="194" t="s">
        <v>336</v>
      </c>
      <c r="L5" s="197" t="s">
        <v>336</v>
      </c>
      <c r="M5" s="197" t="s">
        <v>309</v>
      </c>
      <c r="N5" s="197" t="s">
        <v>309</v>
      </c>
      <c r="P5" s="122" t="s">
        <v>96</v>
      </c>
      <c r="Q5" s="146" t="s">
        <v>268</v>
      </c>
      <c r="R5" s="190" t="s">
        <v>271</v>
      </c>
      <c r="S5" s="190" t="s">
        <v>282</v>
      </c>
      <c r="T5" s="146" t="s">
        <v>269</v>
      </c>
      <c r="U5" s="146" t="s">
        <v>110</v>
      </c>
    </row>
    <row r="6" spans="3:21" ht="33.75">
      <c r="C6" s="122" t="s">
        <v>97</v>
      </c>
      <c r="D6" s="190" t="s">
        <v>271</v>
      </c>
      <c r="E6" s="146" t="s">
        <v>112</v>
      </c>
      <c r="F6" s="146" t="s">
        <v>292</v>
      </c>
      <c r="G6" s="146" t="s">
        <v>165</v>
      </c>
      <c r="H6" s="190" t="s">
        <v>273</v>
      </c>
      <c r="J6" s="194" t="s">
        <v>336</v>
      </c>
      <c r="K6" s="194" t="s">
        <v>337</v>
      </c>
      <c r="L6" s="194" t="s">
        <v>337</v>
      </c>
      <c r="M6" s="197" t="s">
        <v>309</v>
      </c>
      <c r="N6" s="194" t="s">
        <v>336</v>
      </c>
      <c r="P6" s="122" t="s">
        <v>97</v>
      </c>
      <c r="Q6" s="190" t="s">
        <v>271</v>
      </c>
      <c r="R6" s="146" t="s">
        <v>112</v>
      </c>
      <c r="S6" s="146" t="s">
        <v>292</v>
      </c>
      <c r="T6" s="146" t="s">
        <v>165</v>
      </c>
      <c r="U6" s="190" t="s">
        <v>273</v>
      </c>
    </row>
    <row r="7" spans="3:21" ht="33.75">
      <c r="C7" s="122" t="s">
        <v>98</v>
      </c>
      <c r="D7" s="146" t="s">
        <v>112</v>
      </c>
      <c r="E7" s="146" t="s">
        <v>113</v>
      </c>
      <c r="F7" s="146" t="s">
        <v>276</v>
      </c>
      <c r="G7" s="146" t="s">
        <v>166</v>
      </c>
      <c r="H7" s="146" t="s">
        <v>112</v>
      </c>
      <c r="I7" s="191" t="s">
        <v>274</v>
      </c>
      <c r="J7" s="194" t="s">
        <v>337</v>
      </c>
      <c r="K7" s="194" t="s">
        <v>338</v>
      </c>
      <c r="L7" s="122" t="s">
        <v>308</v>
      </c>
      <c r="M7" s="197" t="s">
        <v>309</v>
      </c>
      <c r="N7" s="194" t="s">
        <v>337</v>
      </c>
      <c r="P7" s="122" t="s">
        <v>98</v>
      </c>
      <c r="Q7" s="146" t="s">
        <v>112</v>
      </c>
      <c r="R7" s="146" t="s">
        <v>113</v>
      </c>
      <c r="S7" s="146" t="s">
        <v>276</v>
      </c>
      <c r="T7" s="146" t="s">
        <v>166</v>
      </c>
      <c r="U7" s="146" t="s">
        <v>112</v>
      </c>
    </row>
    <row r="8" spans="3:21" ht="45">
      <c r="C8" s="122" t="s">
        <v>99</v>
      </c>
      <c r="D8" s="146" t="s">
        <v>113</v>
      </c>
      <c r="E8" s="190" t="s">
        <v>272</v>
      </c>
      <c r="G8" s="146" t="s">
        <v>112</v>
      </c>
      <c r="H8" s="190" t="s">
        <v>113</v>
      </c>
      <c r="I8" s="191" t="s">
        <v>275</v>
      </c>
      <c r="J8" s="194" t="s">
        <v>338</v>
      </c>
      <c r="K8" s="194" t="s">
        <v>339</v>
      </c>
      <c r="L8" s="194"/>
      <c r="M8" s="194" t="s">
        <v>337</v>
      </c>
      <c r="N8" s="194" t="s">
        <v>338</v>
      </c>
      <c r="P8" s="122" t="s">
        <v>99</v>
      </c>
      <c r="Q8" s="146" t="s">
        <v>113</v>
      </c>
      <c r="R8" s="190" t="s">
        <v>272</v>
      </c>
      <c r="T8" s="146" t="s">
        <v>112</v>
      </c>
      <c r="U8" s="190" t="s">
        <v>113</v>
      </c>
    </row>
    <row r="9" spans="3:21" ht="45">
      <c r="C9" s="122" t="s">
        <v>100</v>
      </c>
      <c r="D9" s="190" t="s">
        <v>272</v>
      </c>
      <c r="E9" s="146" t="s">
        <v>288</v>
      </c>
      <c r="G9" s="146" t="s">
        <v>113</v>
      </c>
      <c r="H9" s="146" t="s">
        <v>114</v>
      </c>
      <c r="J9" s="194" t="s">
        <v>339</v>
      </c>
      <c r="K9" s="122" t="s">
        <v>308</v>
      </c>
      <c r="L9" s="194"/>
      <c r="M9" s="194" t="s">
        <v>338</v>
      </c>
      <c r="N9" s="194" t="s">
        <v>339</v>
      </c>
      <c r="P9" s="122" t="s">
        <v>100</v>
      </c>
      <c r="Q9" s="190" t="s">
        <v>272</v>
      </c>
      <c r="R9" s="146" t="s">
        <v>288</v>
      </c>
      <c r="T9" s="146" t="s">
        <v>113</v>
      </c>
      <c r="U9" s="146" t="s">
        <v>114</v>
      </c>
    </row>
    <row r="10" spans="3:21" ht="37.5" customHeight="1">
      <c r="C10" s="122" t="s">
        <v>101</v>
      </c>
      <c r="D10" s="148" t="s">
        <v>95</v>
      </c>
      <c r="E10" s="146" t="s">
        <v>289</v>
      </c>
      <c r="G10" s="147" t="s">
        <v>416</v>
      </c>
      <c r="H10" s="146" t="s">
        <v>283</v>
      </c>
      <c r="J10" s="194" t="s">
        <v>309</v>
      </c>
      <c r="K10" s="122" t="s">
        <v>308</v>
      </c>
      <c r="L10" s="195"/>
      <c r="M10" s="194" t="s">
        <v>308</v>
      </c>
      <c r="N10" s="194" t="s">
        <v>308</v>
      </c>
      <c r="P10" s="122" t="s">
        <v>101</v>
      </c>
      <c r="Q10" s="146" t="s">
        <v>95</v>
      </c>
      <c r="R10" s="146" t="s">
        <v>289</v>
      </c>
      <c r="T10" s="147" t="s">
        <v>285</v>
      </c>
      <c r="U10" s="146" t="s">
        <v>283</v>
      </c>
    </row>
    <row r="11" spans="3:21" ht="33.75" customHeight="1">
      <c r="C11" s="122" t="s">
        <v>102</v>
      </c>
      <c r="D11" s="146" t="s">
        <v>288</v>
      </c>
      <c r="E11" s="146" t="s">
        <v>290</v>
      </c>
      <c r="G11" s="146" t="s">
        <v>288</v>
      </c>
      <c r="H11" s="146" t="s">
        <v>284</v>
      </c>
      <c r="J11" s="194" t="s">
        <v>308</v>
      </c>
      <c r="K11" s="122" t="s">
        <v>308</v>
      </c>
      <c r="L11" s="195"/>
      <c r="M11" s="194" t="s">
        <v>308</v>
      </c>
      <c r="N11" s="194" t="s">
        <v>308</v>
      </c>
      <c r="P11" s="122" t="s">
        <v>102</v>
      </c>
      <c r="Q11" s="146" t="s">
        <v>288</v>
      </c>
      <c r="R11" s="146" t="s">
        <v>290</v>
      </c>
      <c r="T11" s="146" t="s">
        <v>286</v>
      </c>
      <c r="U11" s="146" t="s">
        <v>284</v>
      </c>
    </row>
    <row r="12" spans="3:21" ht="22.5">
      <c r="C12" s="122" t="s">
        <v>103</v>
      </c>
      <c r="D12" s="146" t="s">
        <v>289</v>
      </c>
      <c r="F12" s="121"/>
      <c r="G12" s="146" t="s">
        <v>417</v>
      </c>
      <c r="H12" s="121"/>
      <c r="J12" s="194" t="s">
        <v>308</v>
      </c>
      <c r="K12" s="195"/>
      <c r="L12" s="195"/>
      <c r="M12" s="194" t="s">
        <v>308</v>
      </c>
      <c r="N12" s="195"/>
      <c r="P12" s="122" t="s">
        <v>103</v>
      </c>
      <c r="Q12" s="146" t="s">
        <v>289</v>
      </c>
      <c r="S12" s="121"/>
      <c r="T12" s="146" t="s">
        <v>287</v>
      </c>
      <c r="U12" s="121"/>
    </row>
    <row r="13" spans="3:21" ht="22.5">
      <c r="C13" s="122" t="s">
        <v>104</v>
      </c>
      <c r="D13" s="146" t="s">
        <v>290</v>
      </c>
      <c r="F13" s="121"/>
      <c r="H13" s="121"/>
      <c r="J13" s="194" t="s">
        <v>308</v>
      </c>
      <c r="K13" s="195"/>
      <c r="L13" s="195"/>
      <c r="M13" s="195"/>
      <c r="N13" s="195"/>
      <c r="P13" s="122" t="s">
        <v>104</v>
      </c>
      <c r="Q13" s="146" t="s">
        <v>290</v>
      </c>
      <c r="S13" s="121"/>
      <c r="U13" s="121"/>
    </row>
    <row r="14" spans="3:21" ht="22.5">
      <c r="C14" s="122" t="s">
        <v>105</v>
      </c>
      <c r="D14" s="146" t="s">
        <v>291</v>
      </c>
      <c r="F14" s="121"/>
      <c r="H14" s="121"/>
      <c r="J14" s="198" t="s">
        <v>308</v>
      </c>
      <c r="K14" s="196"/>
      <c r="L14" s="196"/>
      <c r="M14" s="196"/>
      <c r="N14" s="196"/>
      <c r="P14" s="122" t="s">
        <v>105</v>
      </c>
      <c r="Q14" s="146" t="s">
        <v>291</v>
      </c>
      <c r="S14" s="121"/>
      <c r="U14" s="121"/>
    </row>
    <row r="15" spans="4:21" ht="11.25">
      <c r="D15" s="120"/>
      <c r="F15" s="121"/>
      <c r="H15" s="121"/>
      <c r="J15" s="123"/>
      <c r="K15" s="123"/>
      <c r="L15" s="123"/>
      <c r="M15" s="123"/>
      <c r="N15" s="123"/>
      <c r="Q15" s="120"/>
      <c r="S15" s="121"/>
      <c r="U15" s="121"/>
    </row>
    <row r="16" spans="4:19" ht="11.25">
      <c r="D16" s="120"/>
      <c r="F16" s="121"/>
      <c r="J16" s="123"/>
      <c r="K16" s="123"/>
      <c r="L16" s="123"/>
      <c r="M16" s="123"/>
      <c r="N16" s="123"/>
      <c r="Q16" s="120"/>
      <c r="S16" s="121"/>
    </row>
    <row r="17" spans="3:21" ht="11.25">
      <c r="C17" s="122"/>
      <c r="E17" s="121"/>
      <c r="F17" s="121"/>
      <c r="G17" s="121"/>
      <c r="H17" s="121"/>
      <c r="J17" s="123"/>
      <c r="K17" s="123"/>
      <c r="L17" s="123"/>
      <c r="M17" s="123"/>
      <c r="N17" s="123"/>
      <c r="P17" s="249" t="s">
        <v>384</v>
      </c>
      <c r="R17" s="121"/>
      <c r="S17" s="121"/>
      <c r="T17" s="121"/>
      <c r="U17" s="121"/>
    </row>
    <row r="18" spans="2:21" ht="15.75">
      <c r="B18" s="151" t="s">
        <v>89</v>
      </c>
      <c r="D18" s="121"/>
      <c r="E18" s="121"/>
      <c r="F18" s="121"/>
      <c r="G18" s="121"/>
      <c r="H18" s="121"/>
      <c r="J18" s="123"/>
      <c r="K18" s="123"/>
      <c r="L18" s="123"/>
      <c r="M18" s="123"/>
      <c r="N18" s="123"/>
      <c r="Q18" s="121"/>
      <c r="R18" s="121"/>
      <c r="S18" s="121"/>
      <c r="T18" s="121"/>
      <c r="U18" s="121"/>
    </row>
    <row r="19" spans="3:21" ht="11.25">
      <c r="C19" s="122" t="s">
        <v>96</v>
      </c>
      <c r="D19" s="127">
        <v>75</v>
      </c>
      <c r="E19" s="125">
        <v>100</v>
      </c>
      <c r="F19" s="125">
        <v>100</v>
      </c>
      <c r="G19" s="127">
        <v>70</v>
      </c>
      <c r="H19" s="126">
        <v>100</v>
      </c>
      <c r="J19" s="123"/>
      <c r="K19" s="123"/>
      <c r="L19" s="123"/>
      <c r="M19" s="123"/>
      <c r="N19" s="123"/>
      <c r="P19" s="122" t="s">
        <v>96</v>
      </c>
      <c r="Q19" s="127">
        <v>75</v>
      </c>
      <c r="R19" s="125">
        <v>100</v>
      </c>
      <c r="S19" s="125">
        <v>100</v>
      </c>
      <c r="T19" s="127">
        <v>70</v>
      </c>
      <c r="U19" s="126">
        <v>100</v>
      </c>
    </row>
    <row r="20" spans="2:21" ht="22.5">
      <c r="B20" s="250" t="s">
        <v>260</v>
      </c>
      <c r="C20" s="122" t="s">
        <v>97</v>
      </c>
      <c r="D20" s="125">
        <v>100</v>
      </c>
      <c r="E20" s="125">
        <v>100</v>
      </c>
      <c r="F20" s="125">
        <v>100</v>
      </c>
      <c r="G20" s="127">
        <v>100</v>
      </c>
      <c r="H20" s="126">
        <v>100</v>
      </c>
      <c r="J20" s="123"/>
      <c r="K20" s="123"/>
      <c r="L20" s="123"/>
      <c r="M20" s="123"/>
      <c r="N20" s="123"/>
      <c r="P20" s="122" t="s">
        <v>97</v>
      </c>
      <c r="Q20" s="125">
        <v>100</v>
      </c>
      <c r="R20" s="125">
        <v>100</v>
      </c>
      <c r="S20" s="125">
        <v>100</v>
      </c>
      <c r="T20" s="127">
        <v>100</v>
      </c>
      <c r="U20" s="126">
        <v>100</v>
      </c>
    </row>
    <row r="21" spans="3:21" ht="11.25">
      <c r="C21" s="122" t="s">
        <v>98</v>
      </c>
      <c r="D21" s="125">
        <v>100</v>
      </c>
      <c r="E21" s="125">
        <v>100</v>
      </c>
      <c r="F21" s="125">
        <v>45</v>
      </c>
      <c r="G21" s="129">
        <v>100</v>
      </c>
      <c r="H21" s="126">
        <v>100</v>
      </c>
      <c r="J21" s="123"/>
      <c r="K21" s="123"/>
      <c r="L21" s="123"/>
      <c r="M21" s="123"/>
      <c r="N21" s="123"/>
      <c r="P21" s="122" t="s">
        <v>98</v>
      </c>
      <c r="Q21" s="125">
        <v>100</v>
      </c>
      <c r="R21" s="125">
        <v>100</v>
      </c>
      <c r="S21" s="125">
        <v>45</v>
      </c>
      <c r="T21" s="129">
        <v>100</v>
      </c>
      <c r="U21" s="126">
        <v>100</v>
      </c>
    </row>
    <row r="22" spans="3:21" ht="11.25">
      <c r="C22" s="122" t="s">
        <v>99</v>
      </c>
      <c r="D22" s="125">
        <v>100</v>
      </c>
      <c r="E22" s="125">
        <v>100</v>
      </c>
      <c r="G22" s="129">
        <v>100</v>
      </c>
      <c r="H22" s="126">
        <v>100</v>
      </c>
      <c r="J22" s="123"/>
      <c r="K22" s="123"/>
      <c r="L22" s="123"/>
      <c r="M22" s="123"/>
      <c r="N22" s="123"/>
      <c r="P22" s="122" t="s">
        <v>99</v>
      </c>
      <c r="Q22" s="125">
        <v>100</v>
      </c>
      <c r="R22" s="125">
        <v>100</v>
      </c>
      <c r="T22" s="129">
        <v>100</v>
      </c>
      <c r="U22" s="126">
        <v>100</v>
      </c>
    </row>
    <row r="23" spans="3:21" ht="11.25" customHeight="1">
      <c r="C23" s="122" t="s">
        <v>100</v>
      </c>
      <c r="D23" s="125">
        <v>100</v>
      </c>
      <c r="E23" s="127">
        <v>40</v>
      </c>
      <c r="G23" s="129">
        <v>100</v>
      </c>
      <c r="H23" s="126">
        <v>100</v>
      </c>
      <c r="J23" s="123"/>
      <c r="K23" s="123"/>
      <c r="L23" s="123"/>
      <c r="M23" s="123"/>
      <c r="N23" s="123"/>
      <c r="P23" s="122" t="s">
        <v>100</v>
      </c>
      <c r="Q23" s="125">
        <v>100</v>
      </c>
      <c r="R23" s="127">
        <v>40</v>
      </c>
      <c r="T23" s="129">
        <v>100</v>
      </c>
      <c r="U23" s="126">
        <v>100</v>
      </c>
    </row>
    <row r="24" spans="3:21" ht="11.25">
      <c r="C24" s="122" t="s">
        <v>101</v>
      </c>
      <c r="D24" s="125">
        <v>100</v>
      </c>
      <c r="E24" s="127">
        <v>45</v>
      </c>
      <c r="G24" s="126">
        <v>30</v>
      </c>
      <c r="H24" s="133">
        <v>50</v>
      </c>
      <c r="J24" s="123"/>
      <c r="K24" s="123"/>
      <c r="L24" s="123"/>
      <c r="M24" s="123"/>
      <c r="N24" s="123"/>
      <c r="P24" s="122" t="s">
        <v>101</v>
      </c>
      <c r="Q24" s="125">
        <v>100</v>
      </c>
      <c r="R24" s="127">
        <v>45</v>
      </c>
      <c r="T24" s="126">
        <v>30</v>
      </c>
      <c r="U24" s="133">
        <v>30</v>
      </c>
    </row>
    <row r="25" spans="3:21" ht="11.25">
      <c r="C25" s="122" t="s">
        <v>102</v>
      </c>
      <c r="D25" s="127">
        <v>40</v>
      </c>
      <c r="E25" s="127">
        <v>50</v>
      </c>
      <c r="F25" s="131"/>
      <c r="G25" s="126">
        <v>30</v>
      </c>
      <c r="H25" s="133">
        <v>50</v>
      </c>
      <c r="J25" s="123"/>
      <c r="K25" s="123"/>
      <c r="L25" s="123"/>
      <c r="M25" s="123"/>
      <c r="N25" s="123"/>
      <c r="P25" s="122" t="s">
        <v>102</v>
      </c>
      <c r="Q25" s="127">
        <v>40</v>
      </c>
      <c r="R25" s="127">
        <v>50</v>
      </c>
      <c r="S25" s="131"/>
      <c r="T25" s="126">
        <v>30</v>
      </c>
      <c r="U25" s="133">
        <v>30</v>
      </c>
    </row>
    <row r="26" spans="3:21" ht="11.25">
      <c r="C26" s="122" t="s">
        <v>103</v>
      </c>
      <c r="D26" s="127">
        <v>45</v>
      </c>
      <c r="F26" s="131"/>
      <c r="G26" s="127">
        <v>25</v>
      </c>
      <c r="H26" s="132"/>
      <c r="J26" s="123"/>
      <c r="K26" s="123"/>
      <c r="L26" s="123"/>
      <c r="M26" s="123"/>
      <c r="N26" s="123"/>
      <c r="P26" s="122" t="s">
        <v>103</v>
      </c>
      <c r="Q26" s="127">
        <v>45</v>
      </c>
      <c r="S26" s="131"/>
      <c r="T26" s="127">
        <v>25</v>
      </c>
      <c r="U26" s="132"/>
    </row>
    <row r="27" spans="3:21" ht="11.25">
      <c r="C27" s="122" t="s">
        <v>104</v>
      </c>
      <c r="D27" s="127">
        <v>50</v>
      </c>
      <c r="F27" s="131"/>
      <c r="H27" s="132"/>
      <c r="J27" s="123"/>
      <c r="K27" s="123"/>
      <c r="L27" s="123"/>
      <c r="M27" s="123"/>
      <c r="N27" s="123"/>
      <c r="P27" s="122" t="s">
        <v>104</v>
      </c>
      <c r="Q27" s="127">
        <v>50</v>
      </c>
      <c r="S27" s="131"/>
      <c r="U27" s="132"/>
    </row>
    <row r="28" spans="3:21" ht="11.25">
      <c r="C28" s="122" t="s">
        <v>105</v>
      </c>
      <c r="D28" s="127">
        <v>10</v>
      </c>
      <c r="F28" s="131"/>
      <c r="H28" s="132"/>
      <c r="J28" s="123"/>
      <c r="K28" s="123"/>
      <c r="L28" s="123"/>
      <c r="M28" s="123"/>
      <c r="N28" s="123"/>
      <c r="P28" s="122" t="s">
        <v>105</v>
      </c>
      <c r="Q28" s="127">
        <v>10</v>
      </c>
      <c r="S28" s="131"/>
      <c r="U28" s="132"/>
    </row>
    <row r="29" spans="6:21" ht="11.25">
      <c r="F29" s="131"/>
      <c r="H29" s="132"/>
      <c r="J29" s="123"/>
      <c r="K29" s="123"/>
      <c r="L29" s="123"/>
      <c r="M29" s="123"/>
      <c r="N29" s="123"/>
      <c r="S29" s="131"/>
      <c r="U29" s="132"/>
    </row>
    <row r="30" spans="5:21" ht="11.25">
      <c r="E30" s="131"/>
      <c r="F30" s="131"/>
      <c r="G30" s="132"/>
      <c r="H30" s="132"/>
      <c r="J30" s="123"/>
      <c r="K30" s="123"/>
      <c r="L30" s="123"/>
      <c r="M30" s="123"/>
      <c r="N30" s="123"/>
      <c r="R30" s="131"/>
      <c r="S30" s="131"/>
      <c r="T30" s="132"/>
      <c r="U30" s="132"/>
    </row>
    <row r="31" spans="3:21" ht="11.25">
      <c r="C31" s="122"/>
      <c r="F31" s="131"/>
      <c r="G31" s="132"/>
      <c r="H31" s="132"/>
      <c r="J31" s="123"/>
      <c r="K31" s="123"/>
      <c r="L31" s="123"/>
      <c r="M31" s="123"/>
      <c r="N31" s="123"/>
      <c r="P31" s="122"/>
      <c r="S31" s="131"/>
      <c r="T31" s="132"/>
      <c r="U31" s="132"/>
    </row>
    <row r="32" spans="2:21" ht="15.75">
      <c r="B32" s="151" t="s">
        <v>87</v>
      </c>
      <c r="D32" s="121"/>
      <c r="E32" s="121"/>
      <c r="F32" s="121"/>
      <c r="G32" s="132"/>
      <c r="H32" s="121"/>
      <c r="J32" s="123"/>
      <c r="K32" s="123"/>
      <c r="L32" s="123"/>
      <c r="M32" s="123"/>
      <c r="N32" s="123"/>
      <c r="Q32" s="121"/>
      <c r="R32" s="121"/>
      <c r="S32" s="121"/>
      <c r="T32" s="132"/>
      <c r="U32" s="121"/>
    </row>
    <row r="33" spans="2:21" ht="15.75">
      <c r="B33" s="151" t="s">
        <v>218</v>
      </c>
      <c r="D33" s="120"/>
      <c r="E33" s="120"/>
      <c r="F33" s="120"/>
      <c r="G33" s="120"/>
      <c r="H33" s="120"/>
      <c r="P33" s="140" t="s">
        <v>107</v>
      </c>
      <c r="Q33" s="120"/>
      <c r="R33" s="120"/>
      <c r="S33" s="120"/>
      <c r="T33" s="120"/>
      <c r="U33" s="120"/>
    </row>
    <row r="34" spans="1:21" ht="15.75">
      <c r="A34" s="151"/>
      <c r="D34" s="122" t="s">
        <v>14</v>
      </c>
      <c r="E34" s="122" t="s">
        <v>14</v>
      </c>
      <c r="F34" s="122" t="s">
        <v>14</v>
      </c>
      <c r="G34" s="122" t="s">
        <v>14</v>
      </c>
      <c r="H34" s="122" t="s">
        <v>14</v>
      </c>
      <c r="Q34" s="122" t="s">
        <v>14</v>
      </c>
      <c r="R34" s="122" t="s">
        <v>14</v>
      </c>
      <c r="S34" s="122" t="s">
        <v>14</v>
      </c>
      <c r="T34" s="122" t="s">
        <v>14</v>
      </c>
      <c r="U34" s="122" t="s">
        <v>14</v>
      </c>
    </row>
    <row r="35" spans="2:21" ht="11.25">
      <c r="B35" s="120" t="s">
        <v>106</v>
      </c>
      <c r="C35" s="122" t="s">
        <v>96</v>
      </c>
      <c r="D35" s="207">
        <f>Q35/Q19</f>
        <v>1.3333333333333333</v>
      </c>
      <c r="E35" s="207">
        <f>R35/R19</f>
        <v>0</v>
      </c>
      <c r="F35" s="207">
        <f>S35/S19</f>
        <v>0</v>
      </c>
      <c r="G35" s="207">
        <f>T35/T19</f>
        <v>1.0714285714285714</v>
      </c>
      <c r="H35" s="207">
        <f>U35/U19</f>
        <v>1</v>
      </c>
      <c r="P35" s="122" t="s">
        <v>96</v>
      </c>
      <c r="Q35" s="127">
        <v>100</v>
      </c>
      <c r="R35" s="127"/>
      <c r="S35" s="125"/>
      <c r="T35" s="127">
        <v>75</v>
      </c>
      <c r="U35" s="126">
        <v>100</v>
      </c>
    </row>
    <row r="36" spans="2:21" ht="11.25">
      <c r="B36" s="140" t="s">
        <v>107</v>
      </c>
      <c r="C36" s="122" t="s">
        <v>97</v>
      </c>
      <c r="D36" s="207">
        <f aca="true" t="shared" si="0" ref="D36:D43">Q36/Q20</f>
        <v>0</v>
      </c>
      <c r="E36" s="207">
        <f aca="true" t="shared" si="1" ref="E36:E41">R36/R20</f>
        <v>0</v>
      </c>
      <c r="F36" s="207">
        <f>S36/S20</f>
        <v>0</v>
      </c>
      <c r="G36" s="207">
        <f aca="true" t="shared" si="2" ref="G36:G42">T36/T20</f>
        <v>1</v>
      </c>
      <c r="H36" s="207">
        <f aca="true" t="shared" si="3" ref="H36:H41">U36/U20</f>
        <v>0</v>
      </c>
      <c r="P36" s="122" t="s">
        <v>97</v>
      </c>
      <c r="Q36" s="127"/>
      <c r="R36" s="127"/>
      <c r="S36" s="125"/>
      <c r="T36" s="127">
        <v>100</v>
      </c>
      <c r="U36" s="126"/>
    </row>
    <row r="37" spans="3:21" ht="11.25">
      <c r="C37" s="122" t="s">
        <v>98</v>
      </c>
      <c r="D37" s="207">
        <f t="shared" si="0"/>
        <v>0</v>
      </c>
      <c r="E37" s="207">
        <f t="shared" si="1"/>
        <v>0</v>
      </c>
      <c r="F37" s="207">
        <f>S37/S21</f>
        <v>1.1111111111111112</v>
      </c>
      <c r="G37" s="207">
        <f t="shared" si="2"/>
        <v>1</v>
      </c>
      <c r="H37" s="207">
        <f t="shared" si="3"/>
        <v>0</v>
      </c>
      <c r="P37" s="122" t="s">
        <v>98</v>
      </c>
      <c r="Q37" s="127"/>
      <c r="R37" s="127"/>
      <c r="S37" s="125">
        <v>50</v>
      </c>
      <c r="T37" s="129">
        <v>100</v>
      </c>
      <c r="U37" s="126"/>
    </row>
    <row r="38" spans="3:21" ht="11.25">
      <c r="C38" s="122" t="s">
        <v>99</v>
      </c>
      <c r="D38" s="207">
        <f t="shared" si="0"/>
        <v>0</v>
      </c>
      <c r="E38" s="207">
        <f t="shared" si="1"/>
        <v>0</v>
      </c>
      <c r="G38" s="207">
        <f t="shared" si="2"/>
        <v>0</v>
      </c>
      <c r="H38" s="207">
        <f t="shared" si="3"/>
        <v>0</v>
      </c>
      <c r="P38" s="122" t="s">
        <v>99</v>
      </c>
      <c r="Q38" s="127"/>
      <c r="R38" s="127"/>
      <c r="T38" s="129"/>
      <c r="U38" s="126"/>
    </row>
    <row r="39" spans="3:21" ht="11.25">
      <c r="C39" s="122" t="s">
        <v>100</v>
      </c>
      <c r="D39" s="207">
        <f t="shared" si="0"/>
        <v>0</v>
      </c>
      <c r="E39" s="207">
        <f t="shared" si="1"/>
        <v>1.125</v>
      </c>
      <c r="G39" s="207">
        <f t="shared" si="2"/>
        <v>0</v>
      </c>
      <c r="H39" s="207">
        <f t="shared" si="3"/>
        <v>0</v>
      </c>
      <c r="P39" s="122" t="s">
        <v>100</v>
      </c>
      <c r="Q39" s="127"/>
      <c r="R39" s="127">
        <v>45</v>
      </c>
      <c r="T39" s="129"/>
      <c r="U39" s="127"/>
    </row>
    <row r="40" spans="3:21" ht="14.25" customHeight="1">
      <c r="C40" s="122" t="s">
        <v>101</v>
      </c>
      <c r="D40" s="207">
        <f t="shared" si="0"/>
        <v>1</v>
      </c>
      <c r="E40" s="207">
        <f t="shared" si="1"/>
        <v>1.1111111111111112</v>
      </c>
      <c r="G40" s="207">
        <f t="shared" si="2"/>
        <v>1.1666666666666667</v>
      </c>
      <c r="H40" s="207">
        <f t="shared" si="3"/>
        <v>1</v>
      </c>
      <c r="P40" s="122" t="s">
        <v>101</v>
      </c>
      <c r="Q40" s="128">
        <v>100</v>
      </c>
      <c r="R40" s="127">
        <v>50</v>
      </c>
      <c r="T40" s="126">
        <v>35</v>
      </c>
      <c r="U40" s="127">
        <v>30</v>
      </c>
    </row>
    <row r="41" spans="3:21" ht="10.5" customHeight="1">
      <c r="C41" s="122" t="s">
        <v>102</v>
      </c>
      <c r="D41" s="318">
        <f>Q41/Q25</f>
        <v>1.125</v>
      </c>
      <c r="E41" s="207">
        <f t="shared" si="1"/>
        <v>1.1</v>
      </c>
      <c r="F41" s="131"/>
      <c r="G41" s="207">
        <f t="shared" si="2"/>
        <v>1.1666666666666667</v>
      </c>
      <c r="H41" s="207">
        <f t="shared" si="3"/>
        <v>1</v>
      </c>
      <c r="P41" s="122" t="s">
        <v>102</v>
      </c>
      <c r="Q41" s="127">
        <v>45</v>
      </c>
      <c r="R41" s="127">
        <v>55</v>
      </c>
      <c r="S41" s="131"/>
      <c r="T41" s="126">
        <v>35</v>
      </c>
      <c r="U41" s="128">
        <v>30</v>
      </c>
    </row>
    <row r="42" spans="3:21" ht="11.25">
      <c r="C42" s="122" t="s">
        <v>103</v>
      </c>
      <c r="D42" s="318">
        <f t="shared" si="0"/>
        <v>1.1111111111111112</v>
      </c>
      <c r="F42" s="131"/>
      <c r="G42" s="207">
        <f t="shared" si="2"/>
        <v>1.2</v>
      </c>
      <c r="H42" s="130"/>
      <c r="P42" s="122" t="s">
        <v>103</v>
      </c>
      <c r="Q42" s="127">
        <v>50</v>
      </c>
      <c r="S42" s="131"/>
      <c r="T42" s="127">
        <v>30</v>
      </c>
      <c r="U42" s="130"/>
    </row>
    <row r="43" spans="3:21" ht="11.25">
      <c r="C43" s="122" t="s">
        <v>104</v>
      </c>
      <c r="D43" s="318">
        <f t="shared" si="0"/>
        <v>1.1</v>
      </c>
      <c r="F43" s="131"/>
      <c r="H43" s="130"/>
      <c r="P43" s="122" t="s">
        <v>104</v>
      </c>
      <c r="Q43" s="127">
        <v>55</v>
      </c>
      <c r="S43" s="131"/>
      <c r="U43" s="130"/>
    </row>
    <row r="44" spans="3:21" ht="11.25">
      <c r="C44" s="122" t="s">
        <v>105</v>
      </c>
      <c r="D44" s="207">
        <f>Q44/Q28</f>
        <v>2.5</v>
      </c>
      <c r="F44" s="131"/>
      <c r="H44" s="130"/>
      <c r="P44" s="122" t="s">
        <v>105</v>
      </c>
      <c r="Q44" s="127">
        <v>25</v>
      </c>
      <c r="S44" s="131"/>
      <c r="U44" s="130"/>
    </row>
    <row r="45" spans="3:21" ht="11.25">
      <c r="C45" s="122"/>
      <c r="F45" s="131"/>
      <c r="H45" s="130"/>
      <c r="P45" s="122"/>
      <c r="S45" s="131"/>
      <c r="U45" s="130"/>
    </row>
    <row r="46" spans="3:21" ht="11.25">
      <c r="C46" s="122"/>
      <c r="F46" s="131"/>
      <c r="G46" s="130"/>
      <c r="H46" s="130"/>
      <c r="P46" s="122"/>
      <c r="S46" s="131"/>
      <c r="T46" s="130"/>
      <c r="U46" s="130"/>
    </row>
    <row r="47" ht="11.25">
      <c r="P47" s="140" t="s">
        <v>88</v>
      </c>
    </row>
    <row r="48" ht="11.25"/>
    <row r="49" spans="2:21" ht="11.25">
      <c r="B49" s="120" t="s">
        <v>106</v>
      </c>
      <c r="C49" s="122" t="s">
        <v>96</v>
      </c>
      <c r="D49" s="207">
        <f>Q49/Q19</f>
        <v>1</v>
      </c>
      <c r="E49" s="127">
        <f aca="true" t="shared" si="4" ref="E49:H56">R49/R19</f>
        <v>0</v>
      </c>
      <c r="F49" s="127">
        <f t="shared" si="4"/>
        <v>0</v>
      </c>
      <c r="G49" s="127">
        <f t="shared" si="4"/>
        <v>1</v>
      </c>
      <c r="H49" s="127">
        <f t="shared" si="4"/>
        <v>1</v>
      </c>
      <c r="P49" s="122" t="s">
        <v>96</v>
      </c>
      <c r="Q49" s="127">
        <v>75</v>
      </c>
      <c r="R49" s="125"/>
      <c r="S49" s="125"/>
      <c r="T49" s="127">
        <v>70</v>
      </c>
      <c r="U49" s="126">
        <v>100</v>
      </c>
    </row>
    <row r="50" spans="2:21" ht="11.25">
      <c r="B50" s="140" t="s">
        <v>88</v>
      </c>
      <c r="C50" s="122" t="s">
        <v>97</v>
      </c>
      <c r="D50" s="127">
        <f aca="true" t="shared" si="5" ref="D50:D58">Q50/Q20</f>
        <v>0</v>
      </c>
      <c r="E50" s="127">
        <f t="shared" si="4"/>
        <v>0</v>
      </c>
      <c r="F50" s="127">
        <f t="shared" si="4"/>
        <v>0</v>
      </c>
      <c r="G50" s="127">
        <f t="shared" si="4"/>
        <v>1</v>
      </c>
      <c r="H50" s="127">
        <f t="shared" si="4"/>
        <v>0</v>
      </c>
      <c r="P50" s="122" t="s">
        <v>97</v>
      </c>
      <c r="Q50" s="125"/>
      <c r="R50" s="125"/>
      <c r="S50" s="125"/>
      <c r="T50" s="127">
        <v>100</v>
      </c>
      <c r="U50" s="126"/>
    </row>
    <row r="51" spans="3:21" ht="11.25">
      <c r="C51" s="122" t="s">
        <v>98</v>
      </c>
      <c r="D51" s="127">
        <f t="shared" si="5"/>
        <v>0</v>
      </c>
      <c r="E51" s="127">
        <f t="shared" si="4"/>
        <v>0</v>
      </c>
      <c r="F51" s="127">
        <f t="shared" si="4"/>
        <v>1</v>
      </c>
      <c r="G51" s="127">
        <f t="shared" si="4"/>
        <v>1</v>
      </c>
      <c r="H51" s="127">
        <f t="shared" si="4"/>
        <v>0</v>
      </c>
      <c r="P51" s="122" t="s">
        <v>98</v>
      </c>
      <c r="Q51" s="125"/>
      <c r="R51" s="125"/>
      <c r="S51" s="125">
        <v>45</v>
      </c>
      <c r="T51" s="129">
        <v>100</v>
      </c>
      <c r="U51" s="126"/>
    </row>
    <row r="52" spans="1:21" ht="11.25">
      <c r="A52" s="142"/>
      <c r="B52" s="142"/>
      <c r="C52" s="122" t="s">
        <v>99</v>
      </c>
      <c r="D52" s="127">
        <f t="shared" si="5"/>
        <v>0</v>
      </c>
      <c r="E52" s="127">
        <f t="shared" si="4"/>
        <v>0</v>
      </c>
      <c r="G52" s="127">
        <f t="shared" si="4"/>
        <v>0</v>
      </c>
      <c r="H52" s="127">
        <f t="shared" si="4"/>
        <v>0</v>
      </c>
      <c r="P52" s="122" t="s">
        <v>99</v>
      </c>
      <c r="Q52" s="125"/>
      <c r="R52" s="125"/>
      <c r="T52" s="129"/>
      <c r="U52" s="126"/>
    </row>
    <row r="53" spans="1:21" ht="11.25">
      <c r="A53" s="142"/>
      <c r="B53" s="142"/>
      <c r="C53" s="122" t="s">
        <v>100</v>
      </c>
      <c r="D53" s="127">
        <f t="shared" si="5"/>
        <v>0</v>
      </c>
      <c r="E53" s="127">
        <f t="shared" si="4"/>
        <v>1</v>
      </c>
      <c r="G53" s="127">
        <f t="shared" si="4"/>
        <v>0</v>
      </c>
      <c r="H53" s="127">
        <f t="shared" si="4"/>
        <v>0</v>
      </c>
      <c r="P53" s="122" t="s">
        <v>100</v>
      </c>
      <c r="Q53" s="125"/>
      <c r="R53" s="127">
        <v>40</v>
      </c>
      <c r="T53" s="129"/>
      <c r="U53" s="126"/>
    </row>
    <row r="54" spans="1:21" ht="11.25">
      <c r="A54" s="142"/>
      <c r="B54" s="142"/>
      <c r="C54" s="122" t="s">
        <v>101</v>
      </c>
      <c r="D54" s="207">
        <f t="shared" si="5"/>
        <v>1</v>
      </c>
      <c r="E54" s="127">
        <f t="shared" si="4"/>
        <v>1</v>
      </c>
      <c r="G54" s="127">
        <f t="shared" si="4"/>
        <v>1</v>
      </c>
      <c r="H54" s="127">
        <f t="shared" si="4"/>
        <v>0.5</v>
      </c>
      <c r="P54" s="122" t="s">
        <v>101</v>
      </c>
      <c r="Q54" s="125">
        <v>100</v>
      </c>
      <c r="R54" s="127">
        <v>45</v>
      </c>
      <c r="T54" s="126">
        <v>30</v>
      </c>
      <c r="U54" s="133">
        <v>15</v>
      </c>
    </row>
    <row r="55" spans="1:21" ht="11.25">
      <c r="A55" s="142"/>
      <c r="B55" s="193"/>
      <c r="C55" s="122" t="s">
        <v>102</v>
      </c>
      <c r="D55" s="207">
        <f t="shared" si="5"/>
        <v>1</v>
      </c>
      <c r="E55" s="127">
        <f t="shared" si="4"/>
        <v>1</v>
      </c>
      <c r="F55" s="131"/>
      <c r="G55" s="127">
        <f t="shared" si="4"/>
        <v>1</v>
      </c>
      <c r="H55" s="127">
        <f t="shared" si="4"/>
        <v>0.6666666666666666</v>
      </c>
      <c r="P55" s="122" t="s">
        <v>102</v>
      </c>
      <c r="Q55" s="127">
        <v>40</v>
      </c>
      <c r="R55" s="127">
        <v>50</v>
      </c>
      <c r="S55" s="131"/>
      <c r="T55" s="126">
        <v>30</v>
      </c>
      <c r="U55" s="133">
        <v>20</v>
      </c>
    </row>
    <row r="56" spans="1:21" ht="11.25">
      <c r="A56" s="142"/>
      <c r="B56" s="181"/>
      <c r="C56" s="122" t="s">
        <v>103</v>
      </c>
      <c r="D56" s="207">
        <f t="shared" si="5"/>
        <v>1</v>
      </c>
      <c r="F56" s="131"/>
      <c r="G56" s="127">
        <f t="shared" si="4"/>
        <v>1</v>
      </c>
      <c r="H56" s="132"/>
      <c r="P56" s="122" t="s">
        <v>103</v>
      </c>
      <c r="Q56" s="127">
        <v>45</v>
      </c>
      <c r="S56" s="131"/>
      <c r="T56" s="127">
        <v>25</v>
      </c>
      <c r="U56" s="132"/>
    </row>
    <row r="57" spans="1:21" ht="11.25">
      <c r="A57" s="181"/>
      <c r="B57" s="181"/>
      <c r="C57" s="122" t="s">
        <v>104</v>
      </c>
      <c r="D57" s="207">
        <f t="shared" si="5"/>
        <v>1</v>
      </c>
      <c r="F57" s="131"/>
      <c r="H57" s="132"/>
      <c r="P57" s="122" t="s">
        <v>104</v>
      </c>
      <c r="Q57" s="127">
        <v>50</v>
      </c>
      <c r="S57" s="131"/>
      <c r="U57" s="132"/>
    </row>
    <row r="58" spans="1:21" ht="11.25">
      <c r="A58" s="181"/>
      <c r="B58" s="181"/>
      <c r="C58" s="122" t="s">
        <v>105</v>
      </c>
      <c r="D58" s="207">
        <f t="shared" si="5"/>
        <v>1</v>
      </c>
      <c r="F58" s="131"/>
      <c r="G58" s="131"/>
      <c r="H58" s="131"/>
      <c r="P58" s="122" t="s">
        <v>105</v>
      </c>
      <c r="Q58" s="127">
        <v>10</v>
      </c>
      <c r="S58" s="131"/>
      <c r="T58" s="131"/>
      <c r="U58" s="131"/>
    </row>
    <row r="59" spans="1:21" ht="11.25">
      <c r="A59" s="181"/>
      <c r="B59" s="181"/>
      <c r="C59" s="122"/>
      <c r="F59" s="131"/>
      <c r="G59" s="131"/>
      <c r="H59" s="131"/>
      <c r="P59" s="122"/>
      <c r="S59" s="131"/>
      <c r="T59" s="131"/>
      <c r="U59" s="131"/>
    </row>
    <row r="60" spans="1:21" ht="11.25">
      <c r="A60" s="181"/>
      <c r="B60" s="181"/>
      <c r="C60" s="122"/>
      <c r="F60" s="131"/>
      <c r="G60" s="130"/>
      <c r="H60" s="130"/>
      <c r="P60" s="122"/>
      <c r="S60" s="131"/>
      <c r="T60" s="130"/>
      <c r="U60" s="130"/>
    </row>
    <row r="61" spans="1:21" ht="11.25">
      <c r="A61" s="142"/>
      <c r="B61" s="142"/>
      <c r="C61" s="122"/>
      <c r="F61" s="131"/>
      <c r="G61" s="130"/>
      <c r="H61" s="130"/>
      <c r="P61" s="140" t="s">
        <v>383</v>
      </c>
      <c r="S61" s="131"/>
      <c r="T61" s="130"/>
      <c r="U61" s="130"/>
    </row>
    <row r="62" spans="2:21" ht="11.25">
      <c r="B62" s="120" t="s">
        <v>106</v>
      </c>
      <c r="C62" s="122"/>
      <c r="F62" s="131"/>
      <c r="G62" s="130"/>
      <c r="H62" s="130"/>
      <c r="P62" s="122"/>
      <c r="S62" s="131"/>
      <c r="T62" s="130"/>
      <c r="U62" s="130"/>
    </row>
    <row r="63" spans="2:21" ht="12" customHeight="1">
      <c r="B63" s="140" t="s">
        <v>383</v>
      </c>
      <c r="C63" s="122" t="s">
        <v>96</v>
      </c>
      <c r="D63" s="129">
        <f>Q63/Q19</f>
        <v>0</v>
      </c>
      <c r="E63" s="129">
        <f aca="true" t="shared" si="6" ref="E63:H69">R63/R19</f>
        <v>0</v>
      </c>
      <c r="F63" s="129">
        <f t="shared" si="6"/>
        <v>0</v>
      </c>
      <c r="G63" s="129">
        <f>T63/T19</f>
        <v>0</v>
      </c>
      <c r="H63" s="129">
        <f t="shared" si="6"/>
        <v>1</v>
      </c>
      <c r="P63" s="122" t="s">
        <v>96</v>
      </c>
      <c r="Q63" s="129">
        <v>0</v>
      </c>
      <c r="R63" s="129"/>
      <c r="S63" s="125"/>
      <c r="T63" s="129">
        <v>0</v>
      </c>
      <c r="U63" s="126">
        <v>100</v>
      </c>
    </row>
    <row r="64" spans="3:21" ht="12" customHeight="1">
      <c r="C64" s="122" t="s">
        <v>97</v>
      </c>
      <c r="D64" s="129">
        <f aca="true" t="shared" si="7" ref="D64:D72">Q64/Q20</f>
        <v>0</v>
      </c>
      <c r="E64" s="129">
        <f t="shared" si="6"/>
        <v>0</v>
      </c>
      <c r="F64" s="129">
        <f t="shared" si="6"/>
        <v>0</v>
      </c>
      <c r="G64" s="129">
        <f t="shared" si="6"/>
        <v>0.7</v>
      </c>
      <c r="H64" s="129">
        <f t="shared" si="6"/>
        <v>0</v>
      </c>
      <c r="P64" s="122" t="s">
        <v>97</v>
      </c>
      <c r="Q64" s="127"/>
      <c r="R64" s="127"/>
      <c r="S64" s="125"/>
      <c r="T64" s="320">
        <v>70</v>
      </c>
      <c r="U64" s="126"/>
    </row>
    <row r="65" spans="3:21" ht="11.25" customHeight="1">
      <c r="C65" s="122" t="s">
        <v>98</v>
      </c>
      <c r="D65" s="129">
        <f t="shared" si="7"/>
        <v>0</v>
      </c>
      <c r="E65" s="129">
        <f t="shared" si="6"/>
        <v>0</v>
      </c>
      <c r="F65" s="208">
        <f t="shared" si="6"/>
        <v>0.8888888888888888</v>
      </c>
      <c r="G65" s="129">
        <f t="shared" si="6"/>
        <v>0.7</v>
      </c>
      <c r="H65" s="129">
        <f t="shared" si="6"/>
        <v>0</v>
      </c>
      <c r="P65" s="122" t="s">
        <v>98</v>
      </c>
      <c r="Q65" s="127"/>
      <c r="R65" s="127"/>
      <c r="S65" s="125">
        <v>40</v>
      </c>
      <c r="T65" s="320">
        <v>70</v>
      </c>
      <c r="U65" s="126"/>
    </row>
    <row r="66" spans="3:21" ht="15.75" customHeight="1">
      <c r="C66" s="122" t="s">
        <v>99</v>
      </c>
      <c r="D66" s="129">
        <f t="shared" si="7"/>
        <v>0</v>
      </c>
      <c r="E66" s="129">
        <f t="shared" si="6"/>
        <v>0</v>
      </c>
      <c r="F66" s="131"/>
      <c r="G66" s="129">
        <f t="shared" si="6"/>
        <v>0</v>
      </c>
      <c r="H66" s="129">
        <f t="shared" si="6"/>
        <v>0</v>
      </c>
      <c r="P66" s="122" t="s">
        <v>99</v>
      </c>
      <c r="Q66" s="127"/>
      <c r="R66" s="127"/>
      <c r="S66" s="131"/>
      <c r="T66" s="127"/>
      <c r="U66" s="126"/>
    </row>
    <row r="67" spans="3:21" ht="13.5" customHeight="1">
      <c r="C67" s="122" t="s">
        <v>100</v>
      </c>
      <c r="D67" s="129">
        <f t="shared" si="7"/>
        <v>0</v>
      </c>
      <c r="E67" s="129">
        <f t="shared" si="6"/>
        <v>0</v>
      </c>
      <c r="F67" s="131"/>
      <c r="G67" s="129">
        <f t="shared" si="6"/>
        <v>0</v>
      </c>
      <c r="H67" s="129">
        <f t="shared" si="6"/>
        <v>0</v>
      </c>
      <c r="P67" s="122" t="s">
        <v>100</v>
      </c>
      <c r="Q67" s="127"/>
      <c r="R67" s="127">
        <v>0</v>
      </c>
      <c r="S67" s="131"/>
      <c r="T67" s="127"/>
      <c r="U67" s="127"/>
    </row>
    <row r="68" spans="3:21" ht="12" customHeight="1">
      <c r="C68" s="122" t="s">
        <v>101</v>
      </c>
      <c r="D68" s="208">
        <f t="shared" si="7"/>
        <v>0.8</v>
      </c>
      <c r="E68" s="208">
        <f t="shared" si="6"/>
        <v>0.8888888888888888</v>
      </c>
      <c r="F68" s="131"/>
      <c r="G68" s="209" t="e">
        <f>#REF!/T24</f>
        <v>#REF!</v>
      </c>
      <c r="H68" s="129">
        <f t="shared" si="6"/>
        <v>0</v>
      </c>
      <c r="P68" s="122" t="s">
        <v>101</v>
      </c>
      <c r="Q68" s="128">
        <v>80</v>
      </c>
      <c r="R68" s="127">
        <v>40</v>
      </c>
      <c r="S68" s="131"/>
      <c r="T68" s="125">
        <v>25</v>
      </c>
      <c r="U68" s="128">
        <v>0</v>
      </c>
    </row>
    <row r="69" spans="2:21" ht="22.5">
      <c r="B69" s="146" t="s">
        <v>288</v>
      </c>
      <c r="C69" s="122" t="s">
        <v>102</v>
      </c>
      <c r="D69" s="221">
        <f t="shared" si="7"/>
        <v>0</v>
      </c>
      <c r="E69" s="129">
        <f t="shared" si="6"/>
        <v>0.9</v>
      </c>
      <c r="F69" s="131"/>
      <c r="G69" s="129" t="e">
        <f>#REF!/T25</f>
        <v>#REF!</v>
      </c>
      <c r="H69" s="129">
        <f t="shared" si="6"/>
        <v>0.5</v>
      </c>
      <c r="P69" s="122" t="s">
        <v>102</v>
      </c>
      <c r="Q69" s="127">
        <v>0</v>
      </c>
      <c r="R69" s="127">
        <v>45</v>
      </c>
      <c r="S69" s="131"/>
      <c r="T69" s="133"/>
      <c r="U69" s="128">
        <v>15</v>
      </c>
    </row>
    <row r="70" spans="2:21" ht="21.75" customHeight="1">
      <c r="B70" s="146" t="s">
        <v>289</v>
      </c>
      <c r="C70" s="122" t="s">
        <v>103</v>
      </c>
      <c r="D70" s="208">
        <f t="shared" si="7"/>
        <v>0.8888888888888888</v>
      </c>
      <c r="E70" s="130"/>
      <c r="F70" s="131"/>
      <c r="G70" s="221">
        <f>T68/T26</f>
        <v>1</v>
      </c>
      <c r="H70" s="130"/>
      <c r="P70" s="122" t="s">
        <v>103</v>
      </c>
      <c r="Q70" s="127">
        <v>40</v>
      </c>
      <c r="R70" s="130"/>
      <c r="S70" s="131"/>
      <c r="T70" s="133"/>
      <c r="U70" s="130"/>
    </row>
    <row r="71" spans="2:21" ht="22.5">
      <c r="B71" s="146" t="s">
        <v>290</v>
      </c>
      <c r="C71" s="122" t="s">
        <v>104</v>
      </c>
      <c r="D71" s="208">
        <f t="shared" si="7"/>
        <v>0.9</v>
      </c>
      <c r="E71" s="130"/>
      <c r="F71" s="131"/>
      <c r="G71" s="131"/>
      <c r="H71" s="130"/>
      <c r="P71" s="122" t="s">
        <v>104</v>
      </c>
      <c r="Q71" s="127">
        <v>45</v>
      </c>
      <c r="R71" s="130"/>
      <c r="S71" s="131"/>
      <c r="U71" s="130"/>
    </row>
    <row r="72" spans="2:21" ht="24" customHeight="1">
      <c r="B72" s="146" t="s">
        <v>291</v>
      </c>
      <c r="C72" s="122" t="s">
        <v>105</v>
      </c>
      <c r="D72" s="129">
        <f t="shared" si="7"/>
        <v>0</v>
      </c>
      <c r="E72" s="131"/>
      <c r="F72" s="131"/>
      <c r="G72" s="131"/>
      <c r="H72" s="130"/>
      <c r="P72" s="122" t="s">
        <v>105</v>
      </c>
      <c r="Q72" s="125">
        <v>0</v>
      </c>
      <c r="R72" s="131"/>
      <c r="S72" s="131"/>
      <c r="T72" s="131"/>
      <c r="U72" s="130"/>
    </row>
    <row r="73" spans="3:21" ht="11.25">
      <c r="C73" s="130"/>
      <c r="D73" s="131"/>
      <c r="E73" s="131"/>
      <c r="F73" s="131"/>
      <c r="G73" s="131"/>
      <c r="H73" s="130"/>
      <c r="P73" s="130"/>
      <c r="Q73" s="131"/>
      <c r="R73" s="131"/>
      <c r="S73" s="131"/>
      <c r="T73" s="131"/>
      <c r="U73" s="130"/>
    </row>
    <row r="74" spans="3:21" ht="11.25">
      <c r="C74" s="130"/>
      <c r="D74" s="130"/>
      <c r="E74" s="130"/>
      <c r="F74" s="131"/>
      <c r="G74" s="130"/>
      <c r="H74" s="130"/>
      <c r="P74" s="130"/>
      <c r="Q74" s="130"/>
      <c r="R74" s="130"/>
      <c r="S74" s="131"/>
      <c r="T74" s="130"/>
      <c r="U74" s="130"/>
    </row>
    <row r="75" spans="3:21" ht="11.25">
      <c r="C75" s="122"/>
      <c r="F75" s="131"/>
      <c r="G75" s="130"/>
      <c r="H75" s="130"/>
      <c r="P75" s="122"/>
      <c r="S75" s="131"/>
      <c r="T75" s="130"/>
      <c r="U75" s="130"/>
    </row>
    <row r="76" spans="2:27" s="142" customFormat="1" ht="15.75">
      <c r="B76" s="21" t="s">
        <v>115</v>
      </c>
      <c r="C76" s="130"/>
      <c r="D76" s="130"/>
      <c r="E76" s="130"/>
      <c r="F76" s="131"/>
      <c r="G76" s="130"/>
      <c r="H76" s="132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2:27" s="142" customFormat="1" ht="33.75">
      <c r="B77" s="124" t="s">
        <v>160</v>
      </c>
      <c r="C77" s="249" t="s">
        <v>40</v>
      </c>
      <c r="D77" s="121" t="s">
        <v>82</v>
      </c>
      <c r="E77" s="121" t="s">
        <v>83</v>
      </c>
      <c r="F77" s="121" t="s">
        <v>259</v>
      </c>
      <c r="G77" s="121" t="s">
        <v>84</v>
      </c>
      <c r="H77" s="121" t="s">
        <v>85</v>
      </c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2:27" s="142" customFormat="1" ht="11.25">
      <c r="B78" s="124"/>
      <c r="C78" s="152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2:27" s="142" customFormat="1" ht="33.75">
      <c r="B79" s="120" t="s">
        <v>161</v>
      </c>
      <c r="C79" s="190" t="s">
        <v>271</v>
      </c>
      <c r="D79" s="130">
        <v>1</v>
      </c>
      <c r="E79" s="130">
        <v>1</v>
      </c>
      <c r="F79" s="131">
        <v>1</v>
      </c>
      <c r="G79" s="130"/>
      <c r="H79" s="279">
        <v>1</v>
      </c>
      <c r="I79" s="190" t="s">
        <v>273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3:27" s="142" customFormat="1" ht="22.5">
      <c r="C80" s="146" t="s">
        <v>112</v>
      </c>
      <c r="D80" s="130">
        <v>1</v>
      </c>
      <c r="E80" s="130">
        <v>1</v>
      </c>
      <c r="F80" s="131">
        <v>1</v>
      </c>
      <c r="G80" s="130">
        <v>1</v>
      </c>
      <c r="H80" s="279">
        <v>1</v>
      </c>
      <c r="I80" s="146" t="s">
        <v>503</v>
      </c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</row>
    <row r="81" spans="2:27" s="142" customFormat="1" ht="33.75">
      <c r="B81" s="193"/>
      <c r="C81" s="146" t="s">
        <v>113</v>
      </c>
      <c r="D81" s="130">
        <v>1</v>
      </c>
      <c r="E81" s="130">
        <v>1</v>
      </c>
      <c r="F81" s="131"/>
      <c r="G81" s="130">
        <v>1</v>
      </c>
      <c r="H81" s="279">
        <v>1</v>
      </c>
      <c r="I81" s="146" t="s">
        <v>504</v>
      </c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</row>
    <row r="82" spans="2:27" s="142" customFormat="1" ht="45">
      <c r="B82" s="181"/>
      <c r="C82" s="190" t="s">
        <v>272</v>
      </c>
      <c r="D82" s="130">
        <v>1</v>
      </c>
      <c r="E82" s="130">
        <v>1</v>
      </c>
      <c r="F82" s="131"/>
      <c r="G82" s="131"/>
      <c r="H82" s="279">
        <v>1</v>
      </c>
      <c r="I82" s="190" t="s">
        <v>114</v>
      </c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2:27" s="142" customFormat="1" ht="11.25">
      <c r="B83" s="181"/>
      <c r="C83" s="152" t="s">
        <v>40</v>
      </c>
      <c r="D83" s="130"/>
      <c r="E83" s="130"/>
      <c r="F83" s="131"/>
      <c r="G83" s="132"/>
      <c r="H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</row>
    <row r="84" spans="2:27" s="142" customFormat="1" ht="33.75">
      <c r="B84" s="120" t="s">
        <v>162</v>
      </c>
      <c r="C84" s="190" t="s">
        <v>271</v>
      </c>
      <c r="D84" s="130">
        <v>0.5</v>
      </c>
      <c r="E84" s="130">
        <v>0.5</v>
      </c>
      <c r="F84" s="131">
        <v>0.8</v>
      </c>
      <c r="G84" s="130"/>
      <c r="H84" s="279">
        <v>0.5</v>
      </c>
      <c r="I84" s="190" t="s">
        <v>273</v>
      </c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</row>
    <row r="85" spans="3:27" s="142" customFormat="1" ht="22.5">
      <c r="C85" s="146" t="s">
        <v>112</v>
      </c>
      <c r="D85" s="130">
        <v>1</v>
      </c>
      <c r="E85" s="130">
        <v>1</v>
      </c>
      <c r="F85" s="131">
        <v>1</v>
      </c>
      <c r="G85" s="130">
        <v>1</v>
      </c>
      <c r="H85" s="279">
        <v>1</v>
      </c>
      <c r="I85" s="146" t="s">
        <v>503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</row>
    <row r="86" spans="3:27" ht="33.75">
      <c r="C86" s="146" t="s">
        <v>113</v>
      </c>
      <c r="D86" s="130">
        <v>1</v>
      </c>
      <c r="E86" s="130">
        <v>1</v>
      </c>
      <c r="F86" s="131"/>
      <c r="G86" s="130">
        <v>1</v>
      </c>
      <c r="H86" s="279">
        <v>1</v>
      </c>
      <c r="I86" s="146" t="s">
        <v>504</v>
      </c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</row>
    <row r="87" spans="3:27" ht="45">
      <c r="C87" s="190" t="s">
        <v>272</v>
      </c>
      <c r="D87" s="130">
        <v>1</v>
      </c>
      <c r="E87" s="130">
        <v>1</v>
      </c>
      <c r="F87" s="131"/>
      <c r="G87" s="131"/>
      <c r="H87" s="279">
        <v>1</v>
      </c>
      <c r="I87" s="190" t="s">
        <v>114</v>
      </c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</row>
    <row r="88" spans="3:27" ht="11.25">
      <c r="C88" s="152" t="s">
        <v>40</v>
      </c>
      <c r="F88" s="152"/>
      <c r="G88" s="152"/>
      <c r="H88" s="152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</row>
    <row r="89" spans="2:27" ht="33.75">
      <c r="B89" s="120" t="s">
        <v>163</v>
      </c>
      <c r="C89" s="190" t="s">
        <v>271</v>
      </c>
      <c r="D89" s="122">
        <v>0.4</v>
      </c>
      <c r="E89" s="122">
        <v>0.4</v>
      </c>
      <c r="F89" s="122">
        <v>0.6</v>
      </c>
      <c r="H89" s="279">
        <v>0.4</v>
      </c>
      <c r="I89" s="190" t="s">
        <v>273</v>
      </c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</row>
    <row r="90" spans="3:27" ht="22.5">
      <c r="C90" s="146" t="s">
        <v>112</v>
      </c>
      <c r="D90" s="122">
        <v>1</v>
      </c>
      <c r="E90" s="122">
        <v>1</v>
      </c>
      <c r="F90" s="122">
        <v>1</v>
      </c>
      <c r="G90" s="122">
        <v>1</v>
      </c>
      <c r="H90" s="279">
        <v>1</v>
      </c>
      <c r="I90" s="146" t="s">
        <v>503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</row>
    <row r="91" spans="3:27" ht="33.75">
      <c r="C91" s="146" t="s">
        <v>113</v>
      </c>
      <c r="D91" s="122">
        <v>1</v>
      </c>
      <c r="E91" s="122">
        <v>1</v>
      </c>
      <c r="G91" s="122">
        <v>1</v>
      </c>
      <c r="H91" s="279">
        <v>1</v>
      </c>
      <c r="I91" s="146" t="s">
        <v>504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</row>
    <row r="92" spans="3:27" ht="45">
      <c r="C92" s="190" t="s">
        <v>272</v>
      </c>
      <c r="D92" s="122">
        <v>1</v>
      </c>
      <c r="E92" s="122">
        <v>1</v>
      </c>
      <c r="H92" s="279">
        <v>1</v>
      </c>
      <c r="I92" s="190" t="s">
        <v>114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</row>
    <row r="93" spans="3:27" ht="11.25">
      <c r="C93" s="142"/>
      <c r="D93" s="152"/>
      <c r="E93" s="152"/>
      <c r="F93" s="152"/>
      <c r="G93" s="152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</row>
    <row r="94" spans="3:27" ht="11.25">
      <c r="C94" s="142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</row>
    <row r="95" spans="2:27" s="142" customFormat="1" ht="11.25">
      <c r="B95" s="124" t="s">
        <v>160</v>
      </c>
      <c r="C95" s="152" t="s">
        <v>41</v>
      </c>
      <c r="D95" s="130"/>
      <c r="E95" s="130"/>
      <c r="F95" s="131"/>
      <c r="G95" s="130"/>
      <c r="H95" s="132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</row>
    <row r="96" spans="2:27" s="142" customFormat="1" ht="33.75">
      <c r="B96" s="120" t="s">
        <v>161</v>
      </c>
      <c r="C96" s="190" t="s">
        <v>271</v>
      </c>
      <c r="D96" s="130">
        <v>0.4</v>
      </c>
      <c r="E96" s="130">
        <v>0.4</v>
      </c>
      <c r="F96" s="131">
        <v>0.6</v>
      </c>
      <c r="G96" s="130"/>
      <c r="H96" s="279">
        <v>0.4</v>
      </c>
      <c r="I96" s="190" t="s">
        <v>273</v>
      </c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</row>
    <row r="97" spans="3:27" s="142" customFormat="1" ht="22.5">
      <c r="C97" s="146" t="s">
        <v>112</v>
      </c>
      <c r="D97" s="130">
        <v>1</v>
      </c>
      <c r="E97" s="130">
        <v>1</v>
      </c>
      <c r="F97" s="131">
        <v>1</v>
      </c>
      <c r="G97" s="130">
        <v>1</v>
      </c>
      <c r="H97" s="279">
        <v>1</v>
      </c>
      <c r="I97" s="146" t="s">
        <v>503</v>
      </c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</row>
    <row r="98" spans="2:27" s="142" customFormat="1" ht="33.75">
      <c r="B98" s="193"/>
      <c r="C98" s="146" t="s">
        <v>113</v>
      </c>
      <c r="D98" s="130">
        <v>1</v>
      </c>
      <c r="E98" s="130">
        <v>1</v>
      </c>
      <c r="F98" s="131"/>
      <c r="G98" s="130">
        <v>1</v>
      </c>
      <c r="H98" s="279">
        <v>1</v>
      </c>
      <c r="I98" s="146" t="s">
        <v>504</v>
      </c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</row>
    <row r="99" spans="2:27" s="142" customFormat="1" ht="45">
      <c r="B99" s="181"/>
      <c r="C99" s="190" t="s">
        <v>272</v>
      </c>
      <c r="D99" s="130">
        <v>1</v>
      </c>
      <c r="E99" s="130">
        <v>1</v>
      </c>
      <c r="F99" s="131"/>
      <c r="G99" s="131"/>
      <c r="H99" s="279">
        <v>1</v>
      </c>
      <c r="I99" s="190" t="s">
        <v>114</v>
      </c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</row>
    <row r="100" spans="2:27" s="142" customFormat="1" ht="11.25">
      <c r="B100" s="181"/>
      <c r="C100" s="152" t="s">
        <v>41</v>
      </c>
      <c r="D100" s="130"/>
      <c r="E100" s="130"/>
      <c r="F100" s="131"/>
      <c r="G100" s="132"/>
      <c r="H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</row>
    <row r="101" spans="2:27" s="142" customFormat="1" ht="33.75">
      <c r="B101" s="120" t="s">
        <v>162</v>
      </c>
      <c r="C101" s="190" t="s">
        <v>271</v>
      </c>
      <c r="D101" s="130">
        <v>0.3</v>
      </c>
      <c r="E101" s="130">
        <v>0.3</v>
      </c>
      <c r="F101" s="131">
        <v>0.4</v>
      </c>
      <c r="G101" s="130"/>
      <c r="H101" s="279">
        <v>0.3</v>
      </c>
      <c r="I101" s="190" t="s">
        <v>273</v>
      </c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</row>
    <row r="102" spans="3:27" s="142" customFormat="1" ht="22.5">
      <c r="C102" s="146" t="s">
        <v>112</v>
      </c>
      <c r="D102" s="130">
        <v>1</v>
      </c>
      <c r="E102" s="130">
        <v>1</v>
      </c>
      <c r="F102" s="131">
        <v>1</v>
      </c>
      <c r="G102" s="130">
        <v>1</v>
      </c>
      <c r="H102" s="279">
        <v>1</v>
      </c>
      <c r="I102" s="146" t="s">
        <v>503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</row>
    <row r="103" spans="3:27" ht="33.75">
      <c r="C103" s="146" t="s">
        <v>113</v>
      </c>
      <c r="D103" s="130">
        <v>1</v>
      </c>
      <c r="E103" s="130">
        <v>1</v>
      </c>
      <c r="F103" s="131"/>
      <c r="G103" s="130">
        <v>1</v>
      </c>
      <c r="H103" s="279">
        <v>1</v>
      </c>
      <c r="I103" s="146" t="s">
        <v>504</v>
      </c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</row>
    <row r="104" spans="3:27" ht="45">
      <c r="C104" s="190" t="s">
        <v>272</v>
      </c>
      <c r="D104" s="130">
        <v>0.8</v>
      </c>
      <c r="E104" s="130">
        <v>0.8</v>
      </c>
      <c r="F104" s="131"/>
      <c r="G104" s="131"/>
      <c r="H104" s="279">
        <v>1</v>
      </c>
      <c r="I104" s="190" t="s">
        <v>114</v>
      </c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</row>
    <row r="105" spans="3:27" ht="11.25">
      <c r="C105" s="152" t="s">
        <v>41</v>
      </c>
      <c r="F105" s="152"/>
      <c r="G105" s="152"/>
      <c r="H105" s="152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</row>
    <row r="106" spans="2:27" ht="33.75">
      <c r="B106" s="120" t="s">
        <v>163</v>
      </c>
      <c r="C106" s="190" t="s">
        <v>271</v>
      </c>
      <c r="D106" s="122">
        <v>0.2</v>
      </c>
      <c r="E106" s="122">
        <v>0.2</v>
      </c>
      <c r="F106" s="122">
        <v>0.2</v>
      </c>
      <c r="H106" s="279">
        <v>0.2</v>
      </c>
      <c r="I106" s="190" t="s">
        <v>273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</row>
    <row r="107" spans="3:27" ht="22.5">
      <c r="C107" s="146" t="s">
        <v>112</v>
      </c>
      <c r="D107" s="122">
        <v>0.8</v>
      </c>
      <c r="E107" s="122">
        <v>0.8</v>
      </c>
      <c r="F107" s="122">
        <v>1</v>
      </c>
      <c r="G107" s="122">
        <v>0.8</v>
      </c>
      <c r="H107" s="279">
        <v>0.8</v>
      </c>
      <c r="I107" s="146" t="s">
        <v>503</v>
      </c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</row>
    <row r="108" spans="3:27" ht="33.75">
      <c r="C108" s="146" t="s">
        <v>113</v>
      </c>
      <c r="D108" s="122">
        <v>1</v>
      </c>
      <c r="E108" s="122">
        <v>1</v>
      </c>
      <c r="G108" s="122">
        <v>1</v>
      </c>
      <c r="H108" s="279">
        <v>1</v>
      </c>
      <c r="I108" s="146" t="s">
        <v>504</v>
      </c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</row>
    <row r="109" spans="3:27" ht="45">
      <c r="C109" s="190" t="s">
        <v>272</v>
      </c>
      <c r="D109" s="122">
        <v>0.6</v>
      </c>
      <c r="E109" s="122">
        <v>0.6</v>
      </c>
      <c r="H109" s="279">
        <v>0.9</v>
      </c>
      <c r="I109" s="190" t="s">
        <v>114</v>
      </c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</row>
    <row r="110" spans="3:27" ht="11.25">
      <c r="C110" s="142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</row>
    <row r="111" spans="3:27" ht="11.25">
      <c r="C111" s="142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</row>
    <row r="112" spans="2:27" s="142" customFormat="1" ht="11.25">
      <c r="B112" s="124" t="s">
        <v>160</v>
      </c>
      <c r="C112" s="152" t="s">
        <v>65</v>
      </c>
      <c r="D112" s="130"/>
      <c r="E112" s="130"/>
      <c r="F112" s="131"/>
      <c r="G112" s="130"/>
      <c r="H112" s="132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</row>
    <row r="113" spans="2:27" s="142" customFormat="1" ht="33.75">
      <c r="B113" s="120" t="s">
        <v>161</v>
      </c>
      <c r="C113" s="190" t="s">
        <v>271</v>
      </c>
      <c r="D113" s="130">
        <v>0.3</v>
      </c>
      <c r="E113" s="130">
        <v>0.3</v>
      </c>
      <c r="F113" s="131">
        <v>0.2</v>
      </c>
      <c r="G113" s="130"/>
      <c r="H113" s="279">
        <v>0.2</v>
      </c>
      <c r="I113" s="190" t="s">
        <v>273</v>
      </c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</row>
    <row r="114" spans="3:27" s="142" customFormat="1" ht="22.5">
      <c r="C114" s="146" t="s">
        <v>112</v>
      </c>
      <c r="D114" s="130">
        <v>0.8</v>
      </c>
      <c r="E114" s="130">
        <v>0.8</v>
      </c>
      <c r="F114" s="131">
        <v>1</v>
      </c>
      <c r="G114" s="130">
        <v>0.8</v>
      </c>
      <c r="H114" s="279">
        <v>0.8</v>
      </c>
      <c r="I114" s="146" t="s">
        <v>503</v>
      </c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</row>
    <row r="115" spans="2:27" s="142" customFormat="1" ht="33.75">
      <c r="B115" s="193"/>
      <c r="C115" s="146" t="s">
        <v>113</v>
      </c>
      <c r="D115" s="130">
        <v>1</v>
      </c>
      <c r="E115" s="130">
        <v>1</v>
      </c>
      <c r="F115" s="131"/>
      <c r="G115" s="130">
        <v>1</v>
      </c>
      <c r="H115" s="279">
        <v>1</v>
      </c>
      <c r="I115" s="146" t="s">
        <v>504</v>
      </c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</row>
    <row r="116" spans="2:27" s="142" customFormat="1" ht="45">
      <c r="B116" s="181"/>
      <c r="C116" s="190" t="s">
        <v>272</v>
      </c>
      <c r="D116" s="130">
        <v>0.6</v>
      </c>
      <c r="E116" s="130">
        <v>0.6</v>
      </c>
      <c r="F116" s="131"/>
      <c r="G116" s="131"/>
      <c r="H116" s="279">
        <v>0.9</v>
      </c>
      <c r="I116" s="190" t="s">
        <v>114</v>
      </c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</row>
    <row r="117" spans="2:27" s="142" customFormat="1" ht="11.25">
      <c r="B117" s="181"/>
      <c r="C117" s="152" t="s">
        <v>65</v>
      </c>
      <c r="D117" s="130"/>
      <c r="E117" s="130"/>
      <c r="F117" s="131"/>
      <c r="G117" s="132"/>
      <c r="H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</row>
    <row r="118" spans="2:27" s="142" customFormat="1" ht="33.75">
      <c r="B118" s="120" t="s">
        <v>162</v>
      </c>
      <c r="C118" s="190" t="s">
        <v>271</v>
      </c>
      <c r="D118" s="130">
        <v>0.2</v>
      </c>
      <c r="E118" s="130">
        <v>0.2</v>
      </c>
      <c r="F118" s="131">
        <v>0.2</v>
      </c>
      <c r="G118" s="130"/>
      <c r="H118" s="279">
        <v>0.2</v>
      </c>
      <c r="I118" s="190" t="s">
        <v>273</v>
      </c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</row>
    <row r="119" spans="3:27" s="142" customFormat="1" ht="22.5">
      <c r="C119" s="146" t="s">
        <v>112</v>
      </c>
      <c r="D119" s="130">
        <v>0.6</v>
      </c>
      <c r="E119" s="130">
        <v>0.6</v>
      </c>
      <c r="F119" s="131">
        <v>1</v>
      </c>
      <c r="G119" s="130">
        <v>0.6</v>
      </c>
      <c r="H119" s="279">
        <v>0.6</v>
      </c>
      <c r="I119" s="146" t="s">
        <v>503</v>
      </c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</row>
    <row r="120" spans="3:27" ht="33.75">
      <c r="C120" s="146" t="s">
        <v>113</v>
      </c>
      <c r="D120" s="130">
        <v>1</v>
      </c>
      <c r="E120" s="130">
        <v>1</v>
      </c>
      <c r="F120" s="131"/>
      <c r="G120" s="130">
        <v>1</v>
      </c>
      <c r="H120" s="279">
        <v>1</v>
      </c>
      <c r="I120" s="146" t="s">
        <v>504</v>
      </c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</row>
    <row r="121" spans="3:27" ht="45">
      <c r="C121" s="190" t="s">
        <v>272</v>
      </c>
      <c r="D121" s="130">
        <v>0.4</v>
      </c>
      <c r="E121" s="130">
        <v>0.4</v>
      </c>
      <c r="F121" s="131"/>
      <c r="G121" s="131"/>
      <c r="H121" s="279">
        <v>0.8</v>
      </c>
      <c r="I121" s="190" t="s">
        <v>114</v>
      </c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</row>
    <row r="122" spans="3:27" ht="11.25">
      <c r="C122" s="152" t="s">
        <v>65</v>
      </c>
      <c r="F122" s="152"/>
      <c r="G122" s="152"/>
      <c r="H122" s="152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</row>
    <row r="123" spans="2:27" ht="33.75">
      <c r="B123" s="120" t="s">
        <v>163</v>
      </c>
      <c r="C123" s="190" t="s">
        <v>271</v>
      </c>
      <c r="D123" s="122">
        <v>0.1</v>
      </c>
      <c r="E123" s="122">
        <v>0.1</v>
      </c>
      <c r="F123" s="122">
        <v>0.2</v>
      </c>
      <c r="H123" s="279">
        <v>0.1</v>
      </c>
      <c r="I123" s="190" t="s">
        <v>273</v>
      </c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</row>
    <row r="124" spans="3:27" ht="22.5">
      <c r="C124" s="146" t="s">
        <v>112</v>
      </c>
      <c r="D124" s="122">
        <v>0.5</v>
      </c>
      <c r="E124" s="122">
        <v>0.5</v>
      </c>
      <c r="F124" s="122">
        <v>0.6</v>
      </c>
      <c r="G124" s="122">
        <v>0.4</v>
      </c>
      <c r="H124" s="279">
        <v>0.5</v>
      </c>
      <c r="I124" s="146" t="s">
        <v>503</v>
      </c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</row>
    <row r="125" spans="3:27" ht="33.75">
      <c r="C125" s="146" t="s">
        <v>113</v>
      </c>
      <c r="D125" s="122">
        <v>0.8</v>
      </c>
      <c r="E125" s="122">
        <v>0.8</v>
      </c>
      <c r="G125" s="122">
        <v>0.8</v>
      </c>
      <c r="H125" s="279">
        <v>0.8</v>
      </c>
      <c r="I125" s="146" t="s">
        <v>504</v>
      </c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</row>
    <row r="126" spans="3:27" ht="45">
      <c r="C126" s="190" t="s">
        <v>272</v>
      </c>
      <c r="D126" s="122">
        <v>0.2</v>
      </c>
      <c r="E126" s="122">
        <v>0.2</v>
      </c>
      <c r="H126" s="279">
        <v>0.7</v>
      </c>
      <c r="I126" s="190" t="s">
        <v>114</v>
      </c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</row>
    <row r="127" spans="3:27" ht="11.25">
      <c r="C127" s="142"/>
      <c r="I127" s="122"/>
      <c r="J127" s="122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</row>
    <row r="128" spans="3:27" ht="11.25">
      <c r="C128" s="142"/>
      <c r="D128" s="122" t="s">
        <v>164</v>
      </c>
      <c r="E128" s="263"/>
      <c r="I128" s="122"/>
      <c r="J128" s="122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</row>
    <row r="129" spans="2:27" ht="11.25">
      <c r="B129" s="124" t="s">
        <v>111</v>
      </c>
      <c r="C129" s="122" t="s">
        <v>293</v>
      </c>
      <c r="D129" s="122">
        <v>1.3</v>
      </c>
      <c r="I129" s="122"/>
      <c r="J129" s="122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</row>
    <row r="130" spans="3:27" ht="11.25">
      <c r="C130" s="122" t="s">
        <v>116</v>
      </c>
      <c r="D130" s="122">
        <v>1.2</v>
      </c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</row>
    <row r="131" spans="3:27" ht="11.25">
      <c r="C131" s="122" t="s">
        <v>294</v>
      </c>
      <c r="D131" s="122">
        <v>0.9</v>
      </c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</row>
    <row r="132" spans="3:27" ht="11.25">
      <c r="C132" s="122" t="s">
        <v>295</v>
      </c>
      <c r="D132" s="122">
        <v>0.7</v>
      </c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</row>
    <row r="133" spans="3:27" ht="11.25">
      <c r="C133" s="122" t="s">
        <v>296</v>
      </c>
      <c r="D133" s="122">
        <v>0.6</v>
      </c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</row>
    <row r="134" spans="4:27" ht="11.25">
      <c r="D134" s="120"/>
      <c r="E134" s="120"/>
      <c r="F134" s="12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</row>
    <row r="135" spans="2:27" ht="11.25">
      <c r="B135" s="124" t="s">
        <v>385</v>
      </c>
      <c r="D135" s="120"/>
      <c r="E135" s="120"/>
      <c r="F135" s="12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</row>
    <row r="136" spans="2:27" ht="11.25">
      <c r="B136" s="120" t="s">
        <v>300</v>
      </c>
      <c r="C136" s="120" t="s">
        <v>298</v>
      </c>
      <c r="D136" s="122">
        <v>1</v>
      </c>
      <c r="E136" s="120"/>
      <c r="F136" s="120"/>
      <c r="H136" s="139">
        <v>1</v>
      </c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</row>
    <row r="137" spans="3:27" ht="11.25">
      <c r="C137" s="120" t="s">
        <v>297</v>
      </c>
      <c r="D137" s="122">
        <v>1</v>
      </c>
      <c r="E137" s="120"/>
      <c r="F137" s="120"/>
      <c r="H137" s="139">
        <v>0.8</v>
      </c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</row>
    <row r="138" spans="3:27" ht="11.25">
      <c r="C138" s="120" t="s">
        <v>299</v>
      </c>
      <c r="D138" s="122">
        <v>1</v>
      </c>
      <c r="E138" s="120"/>
      <c r="F138" s="120"/>
      <c r="G138" s="120"/>
      <c r="H138" s="139">
        <v>0.7</v>
      </c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</row>
    <row r="139" spans="4:27" ht="11.25">
      <c r="D139" s="120"/>
      <c r="E139" s="120"/>
      <c r="F139" s="139" t="s">
        <v>79</v>
      </c>
      <c r="G139" s="120"/>
      <c r="H139" s="12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</row>
    <row r="140" spans="2:27" ht="11.25">
      <c r="B140" s="124" t="s">
        <v>301</v>
      </c>
      <c r="D140" s="122" t="s">
        <v>152</v>
      </c>
      <c r="G140" s="120"/>
      <c r="H140" s="12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</row>
    <row r="141" spans="3:27" ht="11.25">
      <c r="C141" s="120" t="s">
        <v>302</v>
      </c>
      <c r="D141" s="122">
        <v>1</v>
      </c>
      <c r="F141" s="139">
        <v>1</v>
      </c>
      <c r="G141" s="120"/>
      <c r="H141" s="12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</row>
    <row r="142" spans="3:27" ht="11.25">
      <c r="C142" s="120" t="s">
        <v>118</v>
      </c>
      <c r="D142" s="122">
        <v>0.7</v>
      </c>
      <c r="F142" s="139">
        <v>0.65</v>
      </c>
      <c r="G142" s="120"/>
      <c r="H142" s="12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</row>
    <row r="143" spans="3:27" ht="11.25">
      <c r="C143" s="120" t="s">
        <v>119</v>
      </c>
      <c r="D143" s="122">
        <v>0.9</v>
      </c>
      <c r="F143" s="139">
        <v>0.85</v>
      </c>
      <c r="G143" s="120"/>
      <c r="H143" s="12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</row>
    <row r="144" spans="3:27" ht="11.25">
      <c r="C144" s="120" t="s">
        <v>120</v>
      </c>
      <c r="D144" s="122">
        <v>1</v>
      </c>
      <c r="F144" s="139">
        <v>1</v>
      </c>
      <c r="G144" s="120"/>
      <c r="H144" s="12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</row>
    <row r="145" spans="16:27" ht="11.25"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</row>
    <row r="146" spans="16:27" ht="11.25"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</row>
    <row r="147" spans="16:27" ht="11.25"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</row>
    <row r="148" spans="16:27" ht="11.25"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</row>
    <row r="149" spans="16:27" ht="11.25"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</row>
    <row r="165" ht="11.25">
      <c r="B165" s="124"/>
    </row>
  </sheetData>
  <sheetProtection/>
  <mergeCells count="1">
    <mergeCell ref="J3:N3"/>
  </mergeCells>
  <printOptions/>
  <pageMargins left="0.75" right="0.75" top="1" bottom="1" header="0.5" footer="0.5"/>
  <pageSetup horizontalDpi="600" verticalDpi="600" orientation="landscape" paperSize="9" r:id="rId3"/>
  <rowBreaks count="1" manualBreakCount="1">
    <brk id="62" min="1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208"/>
  <sheetViews>
    <sheetView zoomScalePageLayoutView="0" workbookViewId="0" topLeftCell="A28">
      <selection activeCell="C45" sqref="C45"/>
    </sheetView>
  </sheetViews>
  <sheetFormatPr defaultColWidth="9.140625" defaultRowHeight="12.75"/>
  <cols>
    <col min="1" max="1" width="10.140625" style="20" customWidth="1"/>
    <col min="2" max="2" width="37.421875" style="20" customWidth="1"/>
    <col min="3" max="3" width="27.57421875" style="20" customWidth="1"/>
    <col min="4" max="16384" width="9.140625" style="20" customWidth="1"/>
  </cols>
  <sheetData>
    <row r="1" spans="1:8" s="154" customFormat="1" ht="11.25">
      <c r="A1" s="154" t="s">
        <v>86</v>
      </c>
      <c r="D1" s="155"/>
      <c r="E1" s="155"/>
      <c r="F1" s="155"/>
      <c r="G1" s="155"/>
      <c r="H1" s="155"/>
    </row>
    <row r="2" spans="4:8" s="156" customFormat="1" ht="11.25">
      <c r="D2" s="157"/>
      <c r="E2" s="157"/>
      <c r="F2" s="157"/>
      <c r="G2" s="157"/>
      <c r="H2" s="157"/>
    </row>
    <row r="3" spans="4:20" s="154" customFormat="1" ht="11.25">
      <c r="D3" s="158"/>
      <c r="E3" s="158"/>
      <c r="F3" s="158"/>
      <c r="G3" s="158"/>
      <c r="H3" s="158"/>
      <c r="J3" s="159"/>
      <c r="K3" s="159"/>
      <c r="L3" s="159"/>
      <c r="M3" s="159"/>
      <c r="N3" s="159"/>
      <c r="P3" s="159"/>
      <c r="Q3" s="159"/>
      <c r="R3" s="159"/>
      <c r="S3" s="159"/>
      <c r="T3" s="159"/>
    </row>
    <row r="4" spans="1:20" s="154" customFormat="1" ht="15.75">
      <c r="A4" s="150" t="s">
        <v>149</v>
      </c>
      <c r="E4" s="158"/>
      <c r="F4" s="158"/>
      <c r="G4" s="158"/>
      <c r="H4" s="158"/>
      <c r="J4" s="159"/>
      <c r="K4" s="159"/>
      <c r="L4" s="159"/>
      <c r="M4" s="159"/>
      <c r="N4" s="159"/>
      <c r="P4" s="159"/>
      <c r="Q4" s="159"/>
      <c r="R4" s="159"/>
      <c r="S4" s="159"/>
      <c r="T4" s="159"/>
    </row>
    <row r="5" spans="1:20" s="154" customFormat="1" ht="12.75">
      <c r="A5" s="149"/>
      <c r="E5" s="158"/>
      <c r="F5" s="158"/>
      <c r="G5" s="158"/>
      <c r="H5" s="158"/>
      <c r="J5" s="159"/>
      <c r="K5" s="159"/>
      <c r="L5" s="159"/>
      <c r="M5" s="159"/>
      <c r="N5" s="159"/>
      <c r="P5" s="159"/>
      <c r="Q5" s="159"/>
      <c r="R5" s="159"/>
      <c r="S5" s="159"/>
      <c r="T5" s="159"/>
    </row>
    <row r="6" spans="1:20" s="154" customFormat="1" ht="12.75">
      <c r="A6" s="14" t="s">
        <v>193</v>
      </c>
      <c r="E6" s="158"/>
      <c r="F6" s="158"/>
      <c r="G6" s="158"/>
      <c r="H6" s="158"/>
      <c r="J6" s="159"/>
      <c r="K6" s="159"/>
      <c r="L6" s="159"/>
      <c r="M6" s="159"/>
      <c r="N6" s="159"/>
      <c r="P6" s="159"/>
      <c r="Q6" s="159"/>
      <c r="R6" s="159"/>
      <c r="S6" s="159"/>
      <c r="T6" s="159"/>
    </row>
    <row r="7" spans="1:4" ht="38.25" customHeight="1">
      <c r="A7" s="14" t="s">
        <v>177</v>
      </c>
      <c r="B7" s="145" t="s">
        <v>168</v>
      </c>
      <c r="C7" s="158"/>
      <c r="D7" s="158" t="s">
        <v>90</v>
      </c>
    </row>
    <row r="8" spans="1:4" ht="15">
      <c r="A8" s="160" t="s">
        <v>191</v>
      </c>
      <c r="C8" s="158" t="s">
        <v>169</v>
      </c>
      <c r="D8" s="158">
        <v>1.1</v>
      </c>
    </row>
    <row r="9" spans="3:4" ht="12.75">
      <c r="C9" s="158" t="s">
        <v>170</v>
      </c>
      <c r="D9" s="158">
        <v>1</v>
      </c>
    </row>
    <row r="10" spans="3:4" ht="12.75">
      <c r="C10" s="158" t="s">
        <v>171</v>
      </c>
      <c r="D10" s="158">
        <v>0.95</v>
      </c>
    </row>
    <row r="11" spans="3:4" ht="12.75">
      <c r="C11" s="158" t="s">
        <v>172</v>
      </c>
      <c r="D11" s="158">
        <v>0.85</v>
      </c>
    </row>
    <row r="12" spans="3:4" ht="12.75">
      <c r="C12" s="25"/>
      <c r="D12" s="25"/>
    </row>
    <row r="13" ht="15">
      <c r="C13" s="160"/>
    </row>
    <row r="14" spans="1:4" ht="24" customHeight="1">
      <c r="A14" s="14" t="s">
        <v>176</v>
      </c>
      <c r="B14" s="145" t="s">
        <v>173</v>
      </c>
      <c r="D14" s="158" t="s">
        <v>90</v>
      </c>
    </row>
    <row r="15" spans="1:4" ht="22.5">
      <c r="A15" s="160" t="s">
        <v>192</v>
      </c>
      <c r="C15" s="158" t="s">
        <v>174</v>
      </c>
      <c r="D15" s="25">
        <v>1</v>
      </c>
    </row>
    <row r="16" spans="3:4" ht="22.5">
      <c r="C16" s="158" t="s">
        <v>194</v>
      </c>
      <c r="D16" s="158">
        <v>1</v>
      </c>
    </row>
    <row r="17" spans="2:4" ht="12.75">
      <c r="B17" s="141"/>
      <c r="C17" s="158" t="s">
        <v>178</v>
      </c>
      <c r="D17" s="158">
        <v>0.95</v>
      </c>
    </row>
    <row r="18" spans="3:4" ht="12.75">
      <c r="C18" s="158" t="s">
        <v>179</v>
      </c>
      <c r="D18" s="158">
        <v>0.9</v>
      </c>
    </row>
    <row r="19" spans="3:4" ht="12.75">
      <c r="C19" s="158" t="s">
        <v>180</v>
      </c>
      <c r="D19" s="158">
        <v>0.85</v>
      </c>
    </row>
    <row r="20" spans="3:4" ht="15">
      <c r="C20" s="160"/>
      <c r="D20" s="161"/>
    </row>
    <row r="21" spans="1:7" ht="54" customHeight="1">
      <c r="A21" s="14" t="s">
        <v>183</v>
      </c>
      <c r="B21" s="145" t="s">
        <v>181</v>
      </c>
      <c r="D21" s="341" t="s">
        <v>90</v>
      </c>
      <c r="E21" s="341"/>
      <c r="F21" s="341"/>
      <c r="G21" s="341"/>
    </row>
    <row r="22" spans="1:7" ht="15" customHeight="1">
      <c r="A22" s="160" t="s">
        <v>187</v>
      </c>
      <c r="B22" s="162"/>
      <c r="D22" s="341" t="s">
        <v>184</v>
      </c>
      <c r="E22" s="341"/>
      <c r="F22" s="341"/>
      <c r="G22" s="341"/>
    </row>
    <row r="23" spans="2:7" ht="15">
      <c r="B23" s="162"/>
      <c r="C23" s="158" t="s">
        <v>182</v>
      </c>
      <c r="D23" s="158" t="s">
        <v>185</v>
      </c>
      <c r="E23" s="158" t="s">
        <v>189</v>
      </c>
      <c r="F23" s="158" t="s">
        <v>190</v>
      </c>
      <c r="G23" s="158" t="s">
        <v>186</v>
      </c>
    </row>
    <row r="24" spans="2:7" ht="15">
      <c r="B24" s="160"/>
      <c r="C24" s="158" t="s">
        <v>245</v>
      </c>
      <c r="D24" s="158">
        <v>1</v>
      </c>
      <c r="E24" s="158">
        <v>1</v>
      </c>
      <c r="F24" s="158">
        <v>1</v>
      </c>
      <c r="G24" s="158">
        <v>1</v>
      </c>
    </row>
    <row r="25" spans="3:7" ht="12.75">
      <c r="C25" s="158" t="s">
        <v>246</v>
      </c>
      <c r="D25" s="158">
        <v>1</v>
      </c>
      <c r="E25" s="158">
        <v>0.95</v>
      </c>
      <c r="F25" s="158">
        <v>0.9</v>
      </c>
      <c r="G25" s="158">
        <v>0.85</v>
      </c>
    </row>
    <row r="26" spans="2:7" ht="15">
      <c r="B26" s="160"/>
      <c r="C26" s="158" t="s">
        <v>247</v>
      </c>
      <c r="D26" s="158">
        <v>0.95</v>
      </c>
      <c r="E26" s="158">
        <v>0.9</v>
      </c>
      <c r="F26" s="158">
        <v>0.8</v>
      </c>
      <c r="G26" s="158">
        <v>0.7</v>
      </c>
    </row>
    <row r="27" spans="2:7" ht="15">
      <c r="B27" s="160"/>
      <c r="C27" s="158"/>
      <c r="D27" s="158"/>
      <c r="E27" s="158"/>
      <c r="F27" s="158"/>
      <c r="G27" s="158"/>
    </row>
    <row r="28" ht="12.75"/>
    <row r="29" ht="15.75">
      <c r="A29" s="163" t="s">
        <v>561</v>
      </c>
    </row>
    <row r="30" spans="2:17" ht="15.75">
      <c r="B30" s="163"/>
      <c r="O30" s="160"/>
      <c r="P30" s="160"/>
      <c r="Q30" s="160"/>
    </row>
    <row r="31" spans="1:17" ht="15.75">
      <c r="A31" s="149" t="s">
        <v>201</v>
      </c>
      <c r="B31" s="163"/>
      <c r="O31" s="160"/>
      <c r="P31" s="160"/>
      <c r="Q31" s="160"/>
    </row>
    <row r="32" spans="1:17" ht="25.5">
      <c r="A32" s="164" t="s">
        <v>195</v>
      </c>
      <c r="B32" s="145" t="s">
        <v>196</v>
      </c>
      <c r="C32" s="25"/>
      <c r="D32" s="158" t="s">
        <v>159</v>
      </c>
      <c r="E32" s="20" t="s">
        <v>95</v>
      </c>
      <c r="O32" s="160"/>
      <c r="P32" s="160"/>
      <c r="Q32" s="160"/>
    </row>
    <row r="33" spans="1:17" ht="40.5" customHeight="1">
      <c r="A33" s="160" t="s">
        <v>248</v>
      </c>
      <c r="B33" s="25"/>
      <c r="C33" s="158" t="s">
        <v>405</v>
      </c>
      <c r="D33" s="158">
        <v>1.05</v>
      </c>
      <c r="E33" s="276">
        <v>1</v>
      </c>
      <c r="O33" s="160"/>
      <c r="P33" s="160"/>
      <c r="Q33" s="160"/>
    </row>
    <row r="34" spans="1:17" ht="15">
      <c r="A34" s="160"/>
      <c r="B34" s="25"/>
      <c r="C34" s="158" t="s">
        <v>406</v>
      </c>
      <c r="D34" s="158">
        <v>1</v>
      </c>
      <c r="E34" s="276">
        <v>0.95</v>
      </c>
      <c r="O34" s="160"/>
      <c r="P34" s="160"/>
      <c r="Q34" s="160"/>
    </row>
    <row r="35" spans="1:17" ht="15.75" customHeight="1">
      <c r="A35" s="160"/>
      <c r="B35" s="25"/>
      <c r="C35" s="158" t="s">
        <v>407</v>
      </c>
      <c r="D35" s="158">
        <v>0.9</v>
      </c>
      <c r="E35" s="276">
        <v>0.8</v>
      </c>
      <c r="O35" s="160"/>
      <c r="P35" s="160"/>
      <c r="Q35" s="160"/>
    </row>
    <row r="36" spans="1:17" ht="22.5">
      <c r="A36" s="160"/>
      <c r="C36" s="158" t="s">
        <v>197</v>
      </c>
      <c r="D36" s="158">
        <v>0.8</v>
      </c>
      <c r="E36" s="276">
        <v>0.6</v>
      </c>
      <c r="O36" s="160"/>
      <c r="P36" s="160"/>
      <c r="Q36" s="160"/>
    </row>
    <row r="37" spans="1:17" ht="15">
      <c r="A37" s="160"/>
      <c r="C37" s="158"/>
      <c r="D37" s="158"/>
      <c r="O37" s="160"/>
      <c r="P37" s="160"/>
      <c r="Q37" s="160"/>
    </row>
    <row r="38" spans="1:17" ht="38.25">
      <c r="A38" s="164" t="s">
        <v>198</v>
      </c>
      <c r="B38" s="145" t="s">
        <v>199</v>
      </c>
      <c r="D38" s="158" t="s">
        <v>159</v>
      </c>
      <c r="E38" s="20" t="s">
        <v>95</v>
      </c>
      <c r="O38" s="342"/>
      <c r="P38" s="342"/>
      <c r="Q38" s="342"/>
    </row>
    <row r="39" spans="1:17" ht="48.75" customHeight="1">
      <c r="A39" s="160" t="s">
        <v>192</v>
      </c>
      <c r="C39" s="158" t="s">
        <v>410</v>
      </c>
      <c r="D39" s="158">
        <v>1</v>
      </c>
      <c r="E39" s="275">
        <v>1</v>
      </c>
      <c r="O39" s="342"/>
      <c r="P39" s="342"/>
      <c r="Q39" s="342"/>
    </row>
    <row r="40" spans="1:17" ht="15">
      <c r="A40" s="20" t="s">
        <v>261</v>
      </c>
      <c r="C40" s="158" t="s">
        <v>411</v>
      </c>
      <c r="D40" s="158">
        <v>0.95</v>
      </c>
      <c r="E40" s="275">
        <v>0.9</v>
      </c>
      <c r="O40" s="160"/>
      <c r="P40" s="160"/>
      <c r="Q40" s="160"/>
    </row>
    <row r="41" spans="1:17" ht="15">
      <c r="A41" s="160"/>
      <c r="C41" s="158" t="s">
        <v>412</v>
      </c>
      <c r="D41" s="158">
        <v>0.85</v>
      </c>
      <c r="E41" s="275">
        <v>0.7</v>
      </c>
      <c r="O41" s="160"/>
      <c r="P41" s="160"/>
      <c r="Q41" s="160"/>
    </row>
    <row r="42" spans="1:17" ht="15">
      <c r="A42" s="160"/>
      <c r="C42" s="158" t="s">
        <v>413</v>
      </c>
      <c r="D42" s="158">
        <v>0.7</v>
      </c>
      <c r="E42" s="275">
        <v>0.5</v>
      </c>
      <c r="O42" s="160"/>
      <c r="P42" s="160"/>
      <c r="Q42" s="160"/>
    </row>
    <row r="43" spans="1:17" ht="15.75">
      <c r="A43" s="343" t="s">
        <v>200</v>
      </c>
      <c r="B43" s="343"/>
      <c r="O43" s="160"/>
      <c r="P43" s="160"/>
      <c r="Q43" s="160"/>
    </row>
    <row r="44" ht="15.75">
      <c r="C44" s="163"/>
    </row>
    <row r="45" ht="15.75">
      <c r="B45" s="163"/>
    </row>
    <row r="46" spans="1:2" ht="15.75">
      <c r="A46" s="149" t="s">
        <v>202</v>
      </c>
      <c r="B46" s="163"/>
    </row>
    <row r="47" ht="12.75">
      <c r="B47" s="145" t="s">
        <v>92</v>
      </c>
    </row>
    <row r="48" spans="3:5" ht="12.75" customHeight="1">
      <c r="C48" s="165" t="s">
        <v>391</v>
      </c>
      <c r="D48" s="159"/>
      <c r="E48" s="159"/>
    </row>
    <row r="49" spans="3:4" ht="12.75">
      <c r="C49" s="165" t="s">
        <v>121</v>
      </c>
      <c r="D49" s="158"/>
    </row>
    <row r="50" ht="12.75">
      <c r="C50" s="165" t="s">
        <v>122</v>
      </c>
    </row>
    <row r="51" spans="3:4" ht="12" customHeight="1">
      <c r="C51" s="165" t="s">
        <v>167</v>
      </c>
      <c r="D51" s="158"/>
    </row>
    <row r="52" ht="12.75"/>
    <row r="53" ht="12.75">
      <c r="A53" s="149" t="s">
        <v>203</v>
      </c>
    </row>
    <row r="54" spans="2:6" ht="25.5">
      <c r="B54" s="145" t="s">
        <v>490</v>
      </c>
      <c r="C54" s="154" t="s">
        <v>123</v>
      </c>
      <c r="D54" s="158" t="s">
        <v>40</v>
      </c>
      <c r="E54" s="158" t="s">
        <v>41</v>
      </c>
      <c r="F54" s="158" t="s">
        <v>65</v>
      </c>
    </row>
    <row r="55" spans="3:7" ht="12.75">
      <c r="C55" s="166" t="s">
        <v>390</v>
      </c>
      <c r="D55" s="285">
        <f>IF(OnkoRuostumaton="R",0.9,1)</f>
        <v>0.9</v>
      </c>
      <c r="E55" s="285">
        <f>IF(OnkoRuostumaton="R",0.8,1)</f>
        <v>0.8</v>
      </c>
      <c r="F55" s="285">
        <f>IF(OnkoRuostumaton="R",0.4,0.6)</f>
        <v>0.4</v>
      </c>
      <c r="G55" s="20" t="s">
        <v>529</v>
      </c>
    </row>
    <row r="56" spans="3:6" ht="12.75">
      <c r="C56" s="166" t="s">
        <v>121</v>
      </c>
      <c r="D56" s="25">
        <v>1</v>
      </c>
      <c r="E56" s="25">
        <v>1</v>
      </c>
      <c r="F56" s="25">
        <v>1</v>
      </c>
    </row>
    <row r="57" spans="3:12" ht="15">
      <c r="C57" s="166" t="s">
        <v>122</v>
      </c>
      <c r="D57" s="25">
        <v>1</v>
      </c>
      <c r="E57" s="25">
        <v>1</v>
      </c>
      <c r="F57" s="25">
        <v>1</v>
      </c>
      <c r="L57" s="167"/>
    </row>
    <row r="58" spans="3:6" ht="12.75">
      <c r="C58" s="166" t="s">
        <v>167</v>
      </c>
      <c r="D58" s="25">
        <v>1</v>
      </c>
      <c r="E58" s="25">
        <v>1</v>
      </c>
      <c r="F58" s="25">
        <v>1</v>
      </c>
    </row>
    <row r="59" ht="12.75"/>
    <row r="60" spans="3:4" ht="12.75">
      <c r="C60" s="154" t="s">
        <v>124</v>
      </c>
      <c r="D60" s="158"/>
    </row>
    <row r="61" spans="3:7" ht="12.75">
      <c r="C61" s="166" t="s">
        <v>390</v>
      </c>
      <c r="D61" s="285">
        <f>IF(OnkoRuostumaton="R",0.8,1)</f>
        <v>0.8</v>
      </c>
      <c r="E61" s="285">
        <f>IF(OnkoRuostumaton="R",0.6,0.9)</f>
        <v>0.6</v>
      </c>
      <c r="F61" s="285">
        <f>IF(OnkoRuostumaton="R",0.2,0.4)</f>
        <v>0.2</v>
      </c>
      <c r="G61" s="20" t="s">
        <v>529</v>
      </c>
    </row>
    <row r="62" spans="3:6" ht="12.75">
      <c r="C62" s="166" t="s">
        <v>121</v>
      </c>
      <c r="D62" s="158">
        <v>1</v>
      </c>
      <c r="E62" s="158">
        <v>1</v>
      </c>
      <c r="F62" s="158">
        <v>0.6</v>
      </c>
    </row>
    <row r="63" spans="3:6" ht="12.75">
      <c r="C63" s="166" t="s">
        <v>122</v>
      </c>
      <c r="D63" s="158">
        <v>1</v>
      </c>
      <c r="E63" s="158">
        <v>1</v>
      </c>
      <c r="F63" s="158">
        <v>1</v>
      </c>
    </row>
    <row r="64" spans="3:7" ht="12.75">
      <c r="C64" s="166" t="s">
        <v>167</v>
      </c>
      <c r="D64" s="286">
        <v>1</v>
      </c>
      <c r="E64" s="286">
        <v>1</v>
      </c>
      <c r="F64" s="286">
        <v>1</v>
      </c>
      <c r="G64" s="20" t="s">
        <v>530</v>
      </c>
    </row>
    <row r="65" spans="3:4" ht="12.75">
      <c r="C65" s="166"/>
      <c r="D65" s="158"/>
    </row>
    <row r="66" ht="15.75">
      <c r="A66" s="150" t="s">
        <v>150</v>
      </c>
    </row>
    <row r="67" spans="4:5" ht="12.75">
      <c r="D67" s="277"/>
      <c r="E67" s="277"/>
    </row>
    <row r="68" spans="1:2" ht="15.75">
      <c r="A68" s="14" t="s">
        <v>193</v>
      </c>
      <c r="B68" s="164" t="s">
        <v>204</v>
      </c>
    </row>
    <row r="69" spans="1:7" ht="38.25">
      <c r="A69" s="14" t="s">
        <v>177</v>
      </c>
      <c r="B69" s="145" t="s">
        <v>168</v>
      </c>
      <c r="C69" s="170"/>
      <c r="D69" s="155" t="s">
        <v>90</v>
      </c>
      <c r="E69" s="160"/>
      <c r="F69" s="160"/>
      <c r="G69" s="160"/>
    </row>
    <row r="70" spans="1:7" ht="15">
      <c r="A70" s="169" t="s">
        <v>191</v>
      </c>
      <c r="C70" s="154" t="s">
        <v>205</v>
      </c>
      <c r="D70" s="155">
        <v>1.05</v>
      </c>
      <c r="E70" s="160"/>
      <c r="F70" s="160"/>
      <c r="G70" s="160"/>
    </row>
    <row r="71" spans="2:7" ht="15">
      <c r="B71" s="160"/>
      <c r="C71" s="154" t="s">
        <v>250</v>
      </c>
      <c r="D71" s="155">
        <v>1</v>
      </c>
      <c r="E71" s="160"/>
      <c r="F71" s="160"/>
      <c r="G71" s="160"/>
    </row>
    <row r="72" spans="3:7" ht="15">
      <c r="C72" s="154" t="s">
        <v>251</v>
      </c>
      <c r="D72" s="155">
        <v>0.95</v>
      </c>
      <c r="E72" s="160"/>
      <c r="F72" s="160"/>
      <c r="G72" s="160"/>
    </row>
    <row r="73" spans="2:7" ht="15">
      <c r="B73" s="160"/>
      <c r="C73" s="154" t="s">
        <v>252</v>
      </c>
      <c r="D73" s="155">
        <v>0.9</v>
      </c>
      <c r="E73" s="160"/>
      <c r="F73" s="160"/>
      <c r="G73" s="160"/>
    </row>
    <row r="74" spans="2:7" ht="15">
      <c r="B74" s="160"/>
      <c r="C74" s="154" t="s">
        <v>188</v>
      </c>
      <c r="D74" s="155">
        <v>0.8</v>
      </c>
      <c r="E74" s="160"/>
      <c r="F74" s="160"/>
      <c r="G74" s="160"/>
    </row>
    <row r="75" spans="2:7" ht="15">
      <c r="B75" s="160"/>
      <c r="C75" s="160"/>
      <c r="D75" s="25"/>
      <c r="E75" s="160"/>
      <c r="F75" s="160"/>
      <c r="G75" s="160"/>
    </row>
    <row r="76" spans="1:7" ht="15">
      <c r="A76" s="14" t="s">
        <v>176</v>
      </c>
      <c r="B76" s="145" t="s">
        <v>173</v>
      </c>
      <c r="C76" s="160"/>
      <c r="D76" s="25"/>
      <c r="E76" s="160"/>
      <c r="F76" s="160"/>
      <c r="G76" s="160"/>
    </row>
    <row r="77" spans="1:7" ht="22.5">
      <c r="A77" s="169" t="s">
        <v>192</v>
      </c>
      <c r="B77" s="160"/>
      <c r="C77" s="171" t="s">
        <v>174</v>
      </c>
      <c r="D77" s="155">
        <v>1</v>
      </c>
      <c r="E77" s="160"/>
      <c r="F77" s="160"/>
      <c r="G77" s="160"/>
    </row>
    <row r="78" spans="3:7" ht="15">
      <c r="C78" s="172" t="s">
        <v>175</v>
      </c>
      <c r="D78" s="155">
        <v>1</v>
      </c>
      <c r="E78" s="160"/>
      <c r="F78" s="160"/>
      <c r="G78" s="160"/>
    </row>
    <row r="79" spans="2:7" ht="15">
      <c r="B79" s="160"/>
      <c r="C79" s="172" t="s">
        <v>206</v>
      </c>
      <c r="D79" s="155">
        <v>0.95</v>
      </c>
      <c r="E79" s="160"/>
      <c r="F79" s="160"/>
      <c r="G79" s="160"/>
    </row>
    <row r="80" spans="2:7" ht="15">
      <c r="B80" s="160"/>
      <c r="C80" s="172" t="s">
        <v>179</v>
      </c>
      <c r="D80" s="155">
        <v>0.9</v>
      </c>
      <c r="E80" s="160"/>
      <c r="F80" s="160"/>
      <c r="G80" s="160"/>
    </row>
    <row r="81" spans="2:7" ht="15">
      <c r="B81" s="160"/>
      <c r="C81" s="172" t="s">
        <v>180</v>
      </c>
      <c r="D81" s="155">
        <v>0.8</v>
      </c>
      <c r="E81" s="160"/>
      <c r="F81" s="160"/>
      <c r="G81" s="160"/>
    </row>
    <row r="82" spans="2:7" ht="15">
      <c r="B82" s="162"/>
      <c r="C82" s="160"/>
      <c r="D82" s="160"/>
      <c r="E82" s="160"/>
      <c r="F82" s="160"/>
      <c r="G82" s="160"/>
    </row>
    <row r="83" spans="1:7" ht="51">
      <c r="A83" s="14" t="s">
        <v>183</v>
      </c>
      <c r="B83" s="145" t="s">
        <v>181</v>
      </c>
      <c r="E83" s="160"/>
      <c r="F83" s="160"/>
      <c r="G83" s="160"/>
    </row>
    <row r="84" spans="1:7" ht="19.5" customHeight="1">
      <c r="A84" s="169" t="s">
        <v>187</v>
      </c>
      <c r="B84" s="169"/>
      <c r="C84" s="160"/>
      <c r="D84" s="340" t="s">
        <v>184</v>
      </c>
      <c r="E84" s="340"/>
      <c r="F84" s="340"/>
      <c r="G84" s="340"/>
    </row>
    <row r="85" spans="2:7" ht="15">
      <c r="B85" s="160"/>
      <c r="C85" s="158" t="s">
        <v>182</v>
      </c>
      <c r="D85" s="158" t="s">
        <v>185</v>
      </c>
      <c r="E85" s="158" t="s">
        <v>189</v>
      </c>
      <c r="F85" s="158" t="s">
        <v>190</v>
      </c>
      <c r="G85" s="158" t="s">
        <v>186</v>
      </c>
    </row>
    <row r="86" spans="2:7" ht="15">
      <c r="B86" s="160"/>
      <c r="C86" s="158" t="s">
        <v>256</v>
      </c>
      <c r="D86" s="158">
        <v>1</v>
      </c>
      <c r="E86" s="158">
        <v>1</v>
      </c>
      <c r="F86" s="158">
        <v>1</v>
      </c>
      <c r="G86" s="158">
        <v>1</v>
      </c>
    </row>
    <row r="87" spans="3:7" ht="12.75">
      <c r="C87" s="158" t="s">
        <v>257</v>
      </c>
      <c r="D87" s="158">
        <v>1</v>
      </c>
      <c r="E87" s="158">
        <v>0.95</v>
      </c>
      <c r="F87" s="158">
        <v>0.95</v>
      </c>
      <c r="G87" s="158">
        <v>0.95</v>
      </c>
    </row>
    <row r="88" spans="2:7" ht="15">
      <c r="B88" s="160"/>
      <c r="C88" s="158" t="s">
        <v>258</v>
      </c>
      <c r="D88" s="158">
        <v>0.95</v>
      </c>
      <c r="E88" s="158">
        <v>0.95</v>
      </c>
      <c r="F88" s="158">
        <v>0.9</v>
      </c>
      <c r="G88" s="158">
        <v>0.9</v>
      </c>
    </row>
    <row r="89" spans="2:7" ht="15">
      <c r="B89" s="160"/>
      <c r="C89" s="158" t="s">
        <v>188</v>
      </c>
      <c r="D89" s="158">
        <v>0.9</v>
      </c>
      <c r="E89" s="158">
        <v>0.85</v>
      </c>
      <c r="F89" s="158">
        <v>0.8</v>
      </c>
      <c r="G89" s="158">
        <v>0.8</v>
      </c>
    </row>
    <row r="90" spans="2:7" ht="15">
      <c r="B90" s="160"/>
      <c r="C90" s="158"/>
      <c r="D90" s="158"/>
      <c r="E90" s="158"/>
      <c r="F90" s="158"/>
      <c r="G90" s="158"/>
    </row>
    <row r="91" spans="1:7" ht="15.75">
      <c r="A91" s="14" t="s">
        <v>491</v>
      </c>
      <c r="B91" s="267" t="s">
        <v>492</v>
      </c>
      <c r="C91" s="265" t="s">
        <v>493</v>
      </c>
      <c r="D91" s="268">
        <v>1</v>
      </c>
      <c r="E91" s="267"/>
      <c r="F91" s="267"/>
      <c r="G91" s="267"/>
    </row>
    <row r="92" spans="1:7" ht="15.75">
      <c r="A92" s="14"/>
      <c r="B92" s="267"/>
      <c r="C92" s="155" t="s">
        <v>494</v>
      </c>
      <c r="D92" s="268">
        <v>0.95</v>
      </c>
      <c r="E92" s="267"/>
      <c r="F92" s="267"/>
      <c r="G92" s="267"/>
    </row>
    <row r="93" spans="1:7" ht="15.75">
      <c r="A93" s="14"/>
      <c r="B93" s="267"/>
      <c r="C93" s="278" t="s">
        <v>495</v>
      </c>
      <c r="D93" s="268">
        <v>0.9</v>
      </c>
      <c r="E93" s="267"/>
      <c r="F93" s="267"/>
      <c r="G93" s="267"/>
    </row>
    <row r="94" spans="1:7" ht="15.75">
      <c r="A94" s="14"/>
      <c r="B94" s="267"/>
      <c r="C94" s="278"/>
      <c r="D94" s="268"/>
      <c r="E94" s="267"/>
      <c r="F94" s="267"/>
      <c r="G94" s="267"/>
    </row>
    <row r="95" spans="1:7" ht="15.75">
      <c r="A95" s="14" t="s">
        <v>496</v>
      </c>
      <c r="B95" s="267" t="s">
        <v>497</v>
      </c>
      <c r="C95" s="159" t="s">
        <v>498</v>
      </c>
      <c r="D95" s="268">
        <v>1.05</v>
      </c>
      <c r="E95" s="267"/>
      <c r="F95" s="267"/>
      <c r="G95" s="267"/>
    </row>
    <row r="96" spans="1:7" ht="15.75">
      <c r="A96" s="14"/>
      <c r="B96" s="267"/>
      <c r="C96" s="159" t="s">
        <v>499</v>
      </c>
      <c r="D96" s="268">
        <v>1</v>
      </c>
      <c r="E96" s="267"/>
      <c r="F96" s="267"/>
      <c r="G96" s="267"/>
    </row>
    <row r="97" spans="3:7" ht="15.75">
      <c r="C97" s="159" t="s">
        <v>500</v>
      </c>
      <c r="D97" s="268">
        <v>0.95</v>
      </c>
      <c r="E97" s="160"/>
      <c r="F97" s="160"/>
      <c r="G97" s="160"/>
    </row>
    <row r="98" spans="3:7" ht="15.75">
      <c r="C98" s="159"/>
      <c r="D98" s="268"/>
      <c r="E98" s="160"/>
      <c r="F98" s="160"/>
      <c r="G98" s="160"/>
    </row>
    <row r="99" spans="1:7" ht="15.75">
      <c r="A99" s="273" t="s">
        <v>563</v>
      </c>
      <c r="B99" s="273"/>
      <c r="C99" s="160"/>
      <c r="D99" s="160"/>
      <c r="E99" s="160"/>
      <c r="F99" s="160"/>
      <c r="G99" s="160"/>
    </row>
    <row r="100" spans="1:7" ht="15.75">
      <c r="A100" s="168"/>
      <c r="B100" s="168"/>
      <c r="C100" s="160"/>
      <c r="D100" s="160"/>
      <c r="E100" s="160"/>
      <c r="F100" s="160"/>
      <c r="G100" s="160"/>
    </row>
    <row r="101" spans="1:5" ht="15.75">
      <c r="A101" s="14" t="s">
        <v>393</v>
      </c>
      <c r="B101" s="289" t="s">
        <v>224</v>
      </c>
      <c r="C101" s="154"/>
      <c r="D101" s="154" t="s">
        <v>90</v>
      </c>
      <c r="E101" s="155"/>
    </row>
    <row r="102" spans="2:5" ht="12.75">
      <c r="B102" s="20" t="s">
        <v>220</v>
      </c>
      <c r="C102" s="154" t="s">
        <v>221</v>
      </c>
      <c r="D102" s="155">
        <v>1</v>
      </c>
      <c r="E102" s="155"/>
    </row>
    <row r="103" spans="3:5" ht="33.75">
      <c r="C103" s="165" t="s">
        <v>222</v>
      </c>
      <c r="D103" s="155">
        <v>0.9</v>
      </c>
      <c r="E103" s="155"/>
    </row>
    <row r="104" spans="3:5" ht="22.5">
      <c r="C104" s="165" t="s">
        <v>223</v>
      </c>
      <c r="D104" s="155">
        <v>0.8</v>
      </c>
      <c r="E104" s="155"/>
    </row>
    <row r="105" spans="2:5" ht="15.75">
      <c r="B105" s="164"/>
      <c r="C105" s="165"/>
      <c r="D105" s="155"/>
      <c r="E105" s="155"/>
    </row>
    <row r="106" spans="1:5" ht="15.75">
      <c r="A106" s="14" t="s">
        <v>203</v>
      </c>
      <c r="B106" s="289" t="s">
        <v>394</v>
      </c>
      <c r="C106" s="154"/>
      <c r="D106" s="155"/>
      <c r="E106" s="155"/>
    </row>
    <row r="107" spans="2:5" ht="12.75">
      <c r="B107" s="145" t="s">
        <v>32</v>
      </c>
      <c r="C107" s="172"/>
      <c r="D107" s="155" t="s">
        <v>152</v>
      </c>
      <c r="E107" s="155" t="s">
        <v>151</v>
      </c>
    </row>
    <row r="108" spans="2:5" ht="15">
      <c r="B108" s="160"/>
      <c r="C108" s="172" t="s">
        <v>153</v>
      </c>
      <c r="D108" s="155">
        <v>1</v>
      </c>
      <c r="E108" s="155">
        <v>1</v>
      </c>
    </row>
    <row r="109" spans="2:5" ht="15">
      <c r="B109" s="160"/>
      <c r="C109" s="172" t="s">
        <v>154</v>
      </c>
      <c r="D109" s="155">
        <v>0.7</v>
      </c>
      <c r="E109" s="155">
        <v>0.7</v>
      </c>
    </row>
    <row r="110" spans="2:5" ht="15">
      <c r="B110" s="160"/>
      <c r="C110" s="160"/>
      <c r="D110" s="25"/>
      <c r="E110" s="25"/>
    </row>
    <row r="111" spans="1:7" ht="15.75">
      <c r="A111" s="14" t="s">
        <v>238</v>
      </c>
      <c r="B111" s="289" t="s">
        <v>395</v>
      </c>
      <c r="C111" s="154"/>
      <c r="D111" s="155" t="s">
        <v>152</v>
      </c>
      <c r="E111" s="155" t="s">
        <v>151</v>
      </c>
      <c r="F111" s="160"/>
      <c r="G111" s="160"/>
    </row>
    <row r="112" spans="2:7" ht="15">
      <c r="B112" s="145" t="s">
        <v>33</v>
      </c>
      <c r="C112" s="154" t="s">
        <v>155</v>
      </c>
      <c r="D112" s="276">
        <v>1.05</v>
      </c>
      <c r="E112" s="155">
        <v>1</v>
      </c>
      <c r="F112" s="160"/>
      <c r="G112" s="160"/>
    </row>
    <row r="113" spans="2:7" ht="15">
      <c r="B113" s="145"/>
      <c r="C113" s="159" t="s">
        <v>541</v>
      </c>
      <c r="D113" s="276">
        <v>1</v>
      </c>
      <c r="E113" s="155">
        <v>0.8</v>
      </c>
      <c r="F113" s="160"/>
      <c r="G113" s="160"/>
    </row>
    <row r="114" spans="3:7" ht="15">
      <c r="C114" s="154" t="s">
        <v>156</v>
      </c>
      <c r="D114" s="276">
        <v>0.65</v>
      </c>
      <c r="E114" s="155">
        <v>0.65</v>
      </c>
      <c r="F114" s="160"/>
      <c r="G114" s="160"/>
    </row>
    <row r="115" spans="6:7" ht="15">
      <c r="F115" s="160"/>
      <c r="G115" s="160"/>
    </row>
    <row r="116" spans="1:7" ht="15">
      <c r="A116" s="14" t="s">
        <v>534</v>
      </c>
      <c r="B116" s="20" t="s">
        <v>533</v>
      </c>
      <c r="C116" s="154" t="s">
        <v>536</v>
      </c>
      <c r="D116" s="276">
        <v>1</v>
      </c>
      <c r="F116" s="160"/>
      <c r="G116" s="160"/>
    </row>
    <row r="117" spans="3:4" ht="12.75">
      <c r="C117" s="154" t="s">
        <v>537</v>
      </c>
      <c r="D117" s="276">
        <v>0.9</v>
      </c>
    </row>
    <row r="119" ht="17.25">
      <c r="B119" s="266" t="s">
        <v>564</v>
      </c>
    </row>
    <row r="120" spans="2:5" ht="17.25">
      <c r="B120" s="339" t="s">
        <v>565</v>
      </c>
      <c r="C120" s="339"/>
      <c r="D120" s="155"/>
      <c r="E120" s="155"/>
    </row>
    <row r="121" spans="2:5" ht="17.25">
      <c r="B121" s="339" t="s">
        <v>566</v>
      </c>
      <c r="C121" s="339"/>
      <c r="D121" s="155"/>
      <c r="E121" s="155"/>
    </row>
    <row r="123" ht="15" customHeight="1">
      <c r="A123" s="150" t="s">
        <v>428</v>
      </c>
    </row>
    <row r="125" spans="1:2" ht="15.75">
      <c r="A125" s="14" t="s">
        <v>193</v>
      </c>
      <c r="B125" s="164" t="s">
        <v>429</v>
      </c>
    </row>
    <row r="126" spans="1:4" ht="23.25">
      <c r="A126" s="14" t="s">
        <v>177</v>
      </c>
      <c r="B126" t="s">
        <v>235</v>
      </c>
      <c r="C126" s="159" t="s">
        <v>430</v>
      </c>
      <c r="D126" s="268">
        <v>1</v>
      </c>
    </row>
    <row r="127" spans="3:4" ht="15.75">
      <c r="C127" s="159" t="s">
        <v>431</v>
      </c>
      <c r="D127" s="268">
        <v>0.9</v>
      </c>
    </row>
    <row r="128" spans="3:4" ht="15.75">
      <c r="C128" s="159" t="s">
        <v>432</v>
      </c>
      <c r="D128" s="268">
        <v>0.85</v>
      </c>
    </row>
    <row r="129" spans="3:4" ht="15.75">
      <c r="C129" s="159" t="s">
        <v>433</v>
      </c>
      <c r="D129" s="268">
        <v>0.8</v>
      </c>
    </row>
    <row r="130" ht="12.75">
      <c r="C130" s="159"/>
    </row>
    <row r="131" spans="2:7" ht="15.75">
      <c r="B131" s="267"/>
      <c r="C131" s="159"/>
      <c r="D131" s="270"/>
      <c r="E131" s="267"/>
      <c r="F131" s="267"/>
      <c r="G131" s="267"/>
    </row>
    <row r="132" spans="1:7" ht="23.25">
      <c r="A132" s="14" t="s">
        <v>470</v>
      </c>
      <c r="B132" s="267" t="s">
        <v>434</v>
      </c>
      <c r="C132" s="159" t="s">
        <v>435</v>
      </c>
      <c r="D132" s="268">
        <v>1</v>
      </c>
      <c r="E132" s="267"/>
      <c r="F132" s="267"/>
      <c r="G132" s="267"/>
    </row>
    <row r="133" spans="2:7" ht="23.25">
      <c r="B133" s="267" t="s">
        <v>436</v>
      </c>
      <c r="C133" s="159" t="s">
        <v>437</v>
      </c>
      <c r="D133" s="268">
        <v>0.9</v>
      </c>
      <c r="E133" s="267"/>
      <c r="F133" s="267"/>
      <c r="G133" s="267"/>
    </row>
    <row r="134" spans="2:7" ht="15.75">
      <c r="B134" s="267"/>
      <c r="C134" s="159"/>
      <c r="D134" s="268"/>
      <c r="E134" s="267"/>
      <c r="F134" s="267"/>
      <c r="G134" s="267"/>
    </row>
    <row r="135" spans="2:7" ht="15.75">
      <c r="B135" s="266" t="s">
        <v>438</v>
      </c>
      <c r="C135" s="159"/>
      <c r="E135" s="267"/>
      <c r="F135" s="267"/>
      <c r="G135" s="267"/>
    </row>
    <row r="136" spans="1:7" ht="34.5">
      <c r="A136" s="14" t="s">
        <v>183</v>
      </c>
      <c r="B136" s="266" t="s">
        <v>439</v>
      </c>
      <c r="C136" s="159" t="s">
        <v>440</v>
      </c>
      <c r="D136" s="268">
        <v>1</v>
      </c>
      <c r="E136" s="267"/>
      <c r="F136" s="267"/>
      <c r="G136" s="267"/>
    </row>
    <row r="137" spans="2:7" ht="23.25">
      <c r="B137" s="267" t="s">
        <v>441</v>
      </c>
      <c r="C137" s="159" t="s">
        <v>442</v>
      </c>
      <c r="D137" s="268">
        <v>0.85</v>
      </c>
      <c r="E137" s="267"/>
      <c r="F137" s="267"/>
      <c r="G137" s="267"/>
    </row>
    <row r="138" spans="2:7" ht="15.75">
      <c r="B138" s="266"/>
      <c r="C138" s="267"/>
      <c r="D138" s="268"/>
      <c r="E138" s="267"/>
      <c r="F138" s="267"/>
      <c r="G138" s="267"/>
    </row>
    <row r="139" spans="4:7" ht="15.75">
      <c r="D139" s="268"/>
      <c r="E139" s="267"/>
      <c r="F139" s="267"/>
      <c r="G139" s="267"/>
    </row>
    <row r="140" spans="1:7" ht="15.75">
      <c r="A140" s="14"/>
      <c r="B140" s="267"/>
      <c r="E140" s="267"/>
      <c r="F140" s="267"/>
      <c r="G140" s="267"/>
    </row>
    <row r="141" spans="1:7" ht="15.75">
      <c r="A141" s="14"/>
      <c r="B141" s="339" t="s">
        <v>562</v>
      </c>
      <c r="C141" s="339"/>
      <c r="D141" s="268"/>
      <c r="E141" s="267"/>
      <c r="F141" s="267"/>
      <c r="G141" s="267"/>
    </row>
    <row r="142" spans="1:7" ht="15.75">
      <c r="A142" s="14"/>
      <c r="B142" s="266"/>
      <c r="C142" s="266"/>
      <c r="D142" s="268"/>
      <c r="E142" s="267"/>
      <c r="F142" s="267"/>
      <c r="G142" s="267"/>
    </row>
    <row r="143" spans="1:7" ht="15.75">
      <c r="A143" s="14" t="s">
        <v>201</v>
      </c>
      <c r="B143" s="266" t="s">
        <v>354</v>
      </c>
      <c r="C143" s="267"/>
      <c r="D143" s="270"/>
      <c r="E143" s="267"/>
      <c r="F143" s="267"/>
      <c r="G143" s="267"/>
    </row>
    <row r="144" spans="2:7" ht="15.75">
      <c r="B144" s="266"/>
      <c r="C144" s="267"/>
      <c r="E144" s="267"/>
      <c r="F144" s="267"/>
      <c r="G144" s="267"/>
    </row>
    <row r="145" spans="1:7" ht="23.25">
      <c r="A145" s="270" t="s">
        <v>195</v>
      </c>
      <c r="B145" s="267" t="s">
        <v>443</v>
      </c>
      <c r="C145" s="159" t="s">
        <v>444</v>
      </c>
      <c r="D145" s="268">
        <v>1</v>
      </c>
      <c r="E145" s="267"/>
      <c r="F145" s="267"/>
      <c r="G145" s="267"/>
    </row>
    <row r="146" spans="2:7" ht="23.25">
      <c r="B146" s="266"/>
      <c r="C146" s="159" t="s">
        <v>445</v>
      </c>
      <c r="D146" s="268">
        <v>0.95</v>
      </c>
      <c r="E146" s="267"/>
      <c r="F146" s="267"/>
      <c r="G146" s="267"/>
    </row>
    <row r="147" spans="1:7" ht="15.75">
      <c r="A147" s="270" t="s">
        <v>198</v>
      </c>
      <c r="B147" s="274" t="s">
        <v>446</v>
      </c>
      <c r="C147" s="159"/>
      <c r="D147" s="273"/>
      <c r="E147" s="267"/>
      <c r="F147" s="267"/>
      <c r="G147" s="267"/>
    </row>
    <row r="148" spans="2:3" ht="12.75" customHeight="1">
      <c r="B148" s="274" t="s">
        <v>447</v>
      </c>
      <c r="C148" s="159"/>
    </row>
    <row r="149" spans="2:4" ht="15.75">
      <c r="B149" s="267"/>
      <c r="C149" s="159" t="s">
        <v>471</v>
      </c>
      <c r="D149" s="268">
        <v>0.95</v>
      </c>
    </row>
    <row r="150" spans="2:7" ht="15.75">
      <c r="B150" s="267"/>
      <c r="C150" s="159" t="s">
        <v>472</v>
      </c>
      <c r="D150" s="268">
        <v>0.9</v>
      </c>
      <c r="E150" s="268"/>
      <c r="F150" s="268"/>
      <c r="G150" s="268"/>
    </row>
    <row r="151" spans="2:7" ht="15.75">
      <c r="B151" s="267"/>
      <c r="C151" s="159" t="s">
        <v>473</v>
      </c>
      <c r="D151" s="268">
        <v>0.85</v>
      </c>
      <c r="E151" s="268"/>
      <c r="F151" s="268"/>
      <c r="G151" s="268"/>
    </row>
    <row r="152" spans="2:7" ht="15.75">
      <c r="B152" s="267"/>
      <c r="C152" s="159" t="s">
        <v>474</v>
      </c>
      <c r="D152" s="268">
        <v>0.8</v>
      </c>
      <c r="E152" s="268"/>
      <c r="F152" s="268"/>
      <c r="G152" s="268"/>
    </row>
    <row r="153" spans="2:7" ht="15.75">
      <c r="B153" s="267"/>
      <c r="C153" s="159"/>
      <c r="D153" s="268"/>
      <c r="E153" s="268"/>
      <c r="F153" s="268"/>
      <c r="G153" s="268"/>
    </row>
    <row r="154" spans="2:7" ht="15.75">
      <c r="B154" s="270" t="s">
        <v>448</v>
      </c>
      <c r="C154" s="267"/>
      <c r="D154" s="268"/>
      <c r="E154" s="267"/>
      <c r="F154" s="267"/>
      <c r="G154" s="267"/>
    </row>
    <row r="155" spans="2:7" ht="15.75">
      <c r="B155" s="267"/>
      <c r="C155" s="267"/>
      <c r="D155" s="268"/>
      <c r="E155" s="267"/>
      <c r="F155" s="267"/>
      <c r="G155" s="267"/>
    </row>
    <row r="156" spans="1:7" ht="15.75">
      <c r="A156" s="14" t="s">
        <v>202</v>
      </c>
      <c r="B156" s="266" t="s">
        <v>449</v>
      </c>
      <c r="C156" s="266"/>
      <c r="D156" s="270"/>
      <c r="E156" s="267"/>
      <c r="F156" s="267"/>
      <c r="G156" s="267"/>
    </row>
    <row r="157" spans="1:7" ht="15.75">
      <c r="A157" s="270" t="s">
        <v>451</v>
      </c>
      <c r="B157" s="266" t="s">
        <v>450</v>
      </c>
      <c r="C157" s="267"/>
      <c r="E157" s="267"/>
      <c r="F157" s="267"/>
      <c r="G157" s="267"/>
    </row>
    <row r="158" spans="2:7" ht="23.25">
      <c r="B158" s="267"/>
      <c r="C158" s="159" t="s">
        <v>452</v>
      </c>
      <c r="D158" s="268">
        <v>1</v>
      </c>
      <c r="E158" s="267"/>
      <c r="F158" s="267"/>
      <c r="G158" s="267"/>
    </row>
    <row r="159" spans="2:7" ht="15.75">
      <c r="B159" s="267"/>
      <c r="C159" s="159" t="s">
        <v>453</v>
      </c>
      <c r="D159" s="268">
        <v>0.95</v>
      </c>
      <c r="E159" s="267"/>
      <c r="F159" s="267"/>
      <c r="G159" s="267"/>
    </row>
    <row r="160" spans="2:7" ht="23.25">
      <c r="B160" s="267"/>
      <c r="C160" s="159" t="s">
        <v>454</v>
      </c>
      <c r="D160" s="268">
        <v>0.9</v>
      </c>
      <c r="E160" s="267"/>
      <c r="F160" s="267"/>
      <c r="G160" s="267"/>
    </row>
    <row r="161" spans="1:7" ht="15.75">
      <c r="A161" s="270" t="s">
        <v>456</v>
      </c>
      <c r="B161" s="266" t="s">
        <v>455</v>
      </c>
      <c r="C161" s="159"/>
      <c r="E161" s="267"/>
      <c r="F161" s="267"/>
      <c r="G161" s="267"/>
    </row>
    <row r="162" spans="2:7" ht="23.25">
      <c r="B162" s="266"/>
      <c r="C162" s="159" t="s">
        <v>457</v>
      </c>
      <c r="D162" s="268">
        <v>1</v>
      </c>
      <c r="E162" s="267"/>
      <c r="F162" s="267"/>
      <c r="G162" s="267"/>
    </row>
    <row r="163" spans="2:7" ht="23.25">
      <c r="B163" s="267"/>
      <c r="C163" s="159" t="s">
        <v>458</v>
      </c>
      <c r="D163" s="268">
        <v>0.95</v>
      </c>
      <c r="E163" s="267"/>
      <c r="F163" s="267"/>
      <c r="G163" s="267"/>
    </row>
    <row r="164" spans="2:7" ht="15.75">
      <c r="B164" s="267"/>
      <c r="C164" s="159" t="s">
        <v>459</v>
      </c>
      <c r="D164" s="268">
        <v>0.9</v>
      </c>
      <c r="E164" s="267"/>
      <c r="F164" s="267"/>
      <c r="G164" s="267"/>
    </row>
    <row r="165" spans="2:7" ht="15.75">
      <c r="B165" s="270" t="s">
        <v>460</v>
      </c>
      <c r="C165" s="159"/>
      <c r="D165" s="268"/>
      <c r="E165" s="267"/>
      <c r="F165" s="267"/>
      <c r="G165" s="267"/>
    </row>
    <row r="166" spans="2:7" ht="15.75">
      <c r="B166" s="266"/>
      <c r="C166" s="159"/>
      <c r="D166" s="270"/>
      <c r="E166" s="267"/>
      <c r="F166" s="267"/>
      <c r="G166" s="267"/>
    </row>
    <row r="167" spans="1:7" ht="15.75">
      <c r="A167" s="14" t="s">
        <v>203</v>
      </c>
      <c r="B167" s="266" t="s">
        <v>461</v>
      </c>
      <c r="C167" s="159"/>
      <c r="D167" s="270"/>
      <c r="E167" s="267"/>
      <c r="F167" s="267"/>
      <c r="G167" s="267"/>
    </row>
    <row r="168" spans="2:7" ht="27" customHeight="1">
      <c r="B168" s="267"/>
      <c r="C168" s="159" t="s">
        <v>462</v>
      </c>
      <c r="D168" s="268">
        <v>1</v>
      </c>
      <c r="E168" s="267"/>
      <c r="F168" s="267"/>
      <c r="G168" s="267"/>
    </row>
    <row r="169" spans="2:7" ht="23.25">
      <c r="B169" s="267"/>
      <c r="C169" s="159" t="s">
        <v>463</v>
      </c>
      <c r="D169" s="268">
        <v>0.95</v>
      </c>
      <c r="E169" s="267"/>
      <c r="F169" s="267"/>
      <c r="G169" s="267"/>
    </row>
    <row r="170" spans="2:7" ht="23.25">
      <c r="B170" s="267"/>
      <c r="C170" s="159" t="s">
        <v>464</v>
      </c>
      <c r="D170" s="268">
        <v>0.8</v>
      </c>
      <c r="E170" s="267"/>
      <c r="F170" s="267"/>
      <c r="G170" s="267"/>
    </row>
    <row r="171" spans="2:7" ht="15.75">
      <c r="B171" s="267"/>
      <c r="C171" s="267"/>
      <c r="D171" s="268"/>
      <c r="E171" s="267"/>
      <c r="F171" s="267"/>
      <c r="G171" s="267"/>
    </row>
    <row r="172" spans="1:7" ht="15.75">
      <c r="A172" s="14" t="s">
        <v>238</v>
      </c>
      <c r="B172" s="271" t="s">
        <v>361</v>
      </c>
      <c r="C172" s="267"/>
      <c r="D172" s="270"/>
      <c r="E172" s="268"/>
      <c r="F172" s="268"/>
      <c r="G172" s="268"/>
    </row>
    <row r="173" spans="2:7" ht="40.5" customHeight="1">
      <c r="B173" s="267"/>
      <c r="C173" s="159" t="s">
        <v>476</v>
      </c>
      <c r="D173" s="268">
        <v>1</v>
      </c>
      <c r="E173" s="268"/>
      <c r="F173" s="268"/>
      <c r="G173" s="268"/>
    </row>
    <row r="174" spans="2:7" ht="23.25">
      <c r="B174" s="274"/>
      <c r="C174" s="159" t="s">
        <v>477</v>
      </c>
      <c r="D174" s="268">
        <v>0.9</v>
      </c>
      <c r="E174" s="274"/>
      <c r="F174" s="274"/>
      <c r="G174" s="274"/>
    </row>
    <row r="175" spans="2:7" ht="23.25">
      <c r="B175" s="274"/>
      <c r="C175" s="159" t="s">
        <v>475</v>
      </c>
      <c r="D175" s="268">
        <v>0.8</v>
      </c>
      <c r="E175" s="274"/>
      <c r="F175" s="274"/>
      <c r="G175" s="274"/>
    </row>
    <row r="176" spans="2:7" ht="15.75">
      <c r="B176" s="267"/>
      <c r="C176" s="269"/>
      <c r="D176" s="272"/>
      <c r="E176" s="272"/>
      <c r="F176" s="272"/>
      <c r="G176" s="272"/>
    </row>
    <row r="177" spans="2:7" ht="30" customHeight="1">
      <c r="B177" s="266" t="s">
        <v>465</v>
      </c>
      <c r="C177" s="266" t="s">
        <v>466</v>
      </c>
      <c r="D177" s="337" t="s">
        <v>467</v>
      </c>
      <c r="E177" s="337"/>
      <c r="F177" s="337"/>
      <c r="G177" s="337"/>
    </row>
    <row r="178" spans="2:7" ht="15.75">
      <c r="B178" s="338"/>
      <c r="C178" s="338"/>
      <c r="D178" s="337"/>
      <c r="E178" s="337"/>
      <c r="F178" s="337"/>
      <c r="G178" s="337"/>
    </row>
    <row r="179" spans="2:7" ht="17.25">
      <c r="B179" s="339" t="s">
        <v>468</v>
      </c>
      <c r="C179" s="339"/>
      <c r="D179" s="337"/>
      <c r="E179" s="337"/>
      <c r="F179" s="337"/>
      <c r="G179" s="337"/>
    </row>
    <row r="180" spans="2:7" ht="17.25">
      <c r="B180" s="339" t="s">
        <v>469</v>
      </c>
      <c r="C180" s="339"/>
      <c r="D180" s="337"/>
      <c r="E180" s="337"/>
      <c r="F180" s="337"/>
      <c r="G180" s="337"/>
    </row>
    <row r="181" spans="2:7" ht="15.75">
      <c r="B181" s="336"/>
      <c r="C181" s="336"/>
      <c r="D181" s="272"/>
      <c r="E181" s="272"/>
      <c r="F181" s="272"/>
      <c r="G181" s="272"/>
    </row>
    <row r="182" spans="1:7" ht="15.75">
      <c r="A182" s="150" t="s">
        <v>513</v>
      </c>
      <c r="C182"/>
      <c r="D182"/>
      <c r="E182"/>
      <c r="F182"/>
      <c r="G182"/>
    </row>
    <row r="184" spans="1:7" ht="15.75">
      <c r="A184" s="14" t="s">
        <v>193</v>
      </c>
      <c r="B184" s="293" t="s">
        <v>514</v>
      </c>
      <c r="C184" s="270"/>
      <c r="D184" s="280"/>
      <c r="E184" s="281"/>
      <c r="F184" s="281"/>
      <c r="G184" s="281"/>
    </row>
    <row r="185" spans="2:7" ht="15.75">
      <c r="B185" s="270"/>
      <c r="C185" s="270"/>
      <c r="D185" s="280"/>
      <c r="E185" s="281"/>
      <c r="F185" s="281"/>
      <c r="G185" s="281"/>
    </row>
    <row r="186" spans="2:7" ht="15.75" customHeight="1">
      <c r="B186" s="334" t="s">
        <v>515</v>
      </c>
      <c r="C186" s="335" t="s">
        <v>539</v>
      </c>
      <c r="D186" s="274"/>
      <c r="E186" s="274"/>
      <c r="F186" s="274"/>
      <c r="G186" s="274"/>
    </row>
    <row r="187" spans="2:7" ht="18" customHeight="1">
      <c r="B187" s="334"/>
      <c r="C187" s="335"/>
      <c r="D187" s="274"/>
      <c r="E187" s="274"/>
      <c r="F187" s="274"/>
      <c r="G187" s="274"/>
    </row>
    <row r="188" spans="2:7" ht="15.75">
      <c r="B188" s="267"/>
      <c r="C188" s="292" t="s">
        <v>516</v>
      </c>
      <c r="D188" s="267">
        <v>1</v>
      </c>
      <c r="E188" s="267"/>
      <c r="F188" s="267"/>
      <c r="G188" s="267"/>
    </row>
    <row r="189" spans="2:7" ht="15.75">
      <c r="B189" s="267"/>
      <c r="C189" s="292" t="s">
        <v>540</v>
      </c>
      <c r="D189" s="267">
        <v>0.95</v>
      </c>
      <c r="E189" s="267"/>
      <c r="F189" s="267"/>
      <c r="G189" s="267"/>
    </row>
    <row r="190" spans="2:7" ht="15.75">
      <c r="B190" s="267"/>
      <c r="C190" s="159" t="s">
        <v>517</v>
      </c>
      <c r="D190" s="267">
        <v>0.85</v>
      </c>
      <c r="E190" s="267"/>
      <c r="F190" s="267"/>
      <c r="G190" s="267"/>
    </row>
    <row r="191" spans="2:7" ht="15.75">
      <c r="B191" s="267"/>
      <c r="C191" s="267"/>
      <c r="D191" s="267"/>
      <c r="E191" s="267"/>
      <c r="F191" s="267"/>
      <c r="G191" s="267"/>
    </row>
    <row r="192" spans="1:7" ht="15.75">
      <c r="A192" s="14" t="s">
        <v>201</v>
      </c>
      <c r="B192" s="266" t="s">
        <v>518</v>
      </c>
      <c r="E192" s="267"/>
      <c r="F192" s="267"/>
      <c r="G192" s="267"/>
    </row>
    <row r="193" spans="2:7" ht="15.75">
      <c r="B193" s="267"/>
      <c r="C193" s="267"/>
      <c r="D193" s="267" t="s">
        <v>520</v>
      </c>
      <c r="E193" s="267" t="s">
        <v>521</v>
      </c>
      <c r="F193" s="267"/>
      <c r="G193" s="267"/>
    </row>
    <row r="194" spans="2:7" ht="31.5">
      <c r="B194" s="267"/>
      <c r="C194" s="281" t="s">
        <v>519</v>
      </c>
      <c r="D194" s="267">
        <v>1</v>
      </c>
      <c r="E194" s="20">
        <v>1</v>
      </c>
      <c r="F194" s="267"/>
      <c r="G194" s="267"/>
    </row>
    <row r="195" spans="2:7" ht="15.75">
      <c r="B195" s="267"/>
      <c r="C195" s="267" t="s">
        <v>522</v>
      </c>
      <c r="D195" s="267">
        <v>0.9</v>
      </c>
      <c r="E195" s="267">
        <v>1</v>
      </c>
      <c r="F195" s="267"/>
      <c r="G195" s="267"/>
    </row>
    <row r="196" spans="2:7" ht="15.75">
      <c r="B196" s="267"/>
      <c r="C196" s="267" t="s">
        <v>523</v>
      </c>
      <c r="D196" s="267">
        <v>0.9</v>
      </c>
      <c r="E196" s="267">
        <v>0.9</v>
      </c>
      <c r="F196" s="267"/>
      <c r="G196" s="267"/>
    </row>
    <row r="197" spans="6:7" ht="15.75">
      <c r="F197" s="267"/>
      <c r="G197" s="267"/>
    </row>
    <row r="198" spans="2:7" ht="15.75">
      <c r="B198" s="267"/>
      <c r="F198" s="267"/>
      <c r="G198" s="267"/>
    </row>
    <row r="199" spans="2:7" ht="15.75">
      <c r="B199" s="267"/>
      <c r="C199" s="267"/>
      <c r="D199" s="267"/>
      <c r="E199" s="267"/>
      <c r="F199" s="267"/>
      <c r="G199" s="267"/>
    </row>
    <row r="200" spans="2:7" ht="15.75">
      <c r="B200" s="267"/>
      <c r="C200" s="267"/>
      <c r="D200" s="267"/>
      <c r="E200" s="267"/>
      <c r="F200" s="267"/>
      <c r="G200" s="267"/>
    </row>
    <row r="201" spans="6:7" ht="15.75">
      <c r="F201" s="267"/>
      <c r="G201" s="267"/>
    </row>
    <row r="202" spans="6:7" ht="15.75">
      <c r="F202" s="267"/>
      <c r="G202" s="267"/>
    </row>
    <row r="203" spans="6:7" ht="15.75">
      <c r="F203" s="267"/>
      <c r="G203" s="267"/>
    </row>
    <row r="204" spans="6:7" ht="15.75">
      <c r="F204" s="267"/>
      <c r="G204" s="267"/>
    </row>
    <row r="205" spans="6:7" ht="15.75">
      <c r="F205" s="267"/>
      <c r="G205" s="267"/>
    </row>
    <row r="206" spans="6:7" ht="15.75">
      <c r="F206" s="267"/>
      <c r="G206" s="267"/>
    </row>
    <row r="207" spans="2:7" ht="15.75">
      <c r="B207" s="267"/>
      <c r="C207" s="267"/>
      <c r="D207" s="267"/>
      <c r="E207" s="267"/>
      <c r="F207" s="267"/>
      <c r="G207" s="267"/>
    </row>
    <row r="208" spans="2:7" ht="15.75">
      <c r="B208" s="269"/>
      <c r="C208"/>
      <c r="D208"/>
      <c r="E208"/>
      <c r="F208"/>
      <c r="G208"/>
    </row>
  </sheetData>
  <sheetProtection/>
  <mergeCells count="17">
    <mergeCell ref="O38:O39"/>
    <mergeCell ref="P38:P39"/>
    <mergeCell ref="Q38:Q39"/>
    <mergeCell ref="A43:B43"/>
    <mergeCell ref="B141:C141"/>
    <mergeCell ref="D84:G84"/>
    <mergeCell ref="D21:G21"/>
    <mergeCell ref="D22:G22"/>
    <mergeCell ref="B120:C120"/>
    <mergeCell ref="B121:C121"/>
    <mergeCell ref="B186:B187"/>
    <mergeCell ref="C186:C187"/>
    <mergeCell ref="B181:C181"/>
    <mergeCell ref="D177:G180"/>
    <mergeCell ref="B178:C178"/>
    <mergeCell ref="B179:C179"/>
    <mergeCell ref="B180:C180"/>
  </mergeCells>
  <printOptions/>
  <pageMargins left="0.75" right="0.75" top="1" bottom="1" header="0.5" footer="0.5"/>
  <pageSetup horizontalDpi="600" verticalDpi="600" orientation="portrait" paperSize="9" scale="73" r:id="rId3"/>
  <rowBreaks count="1" manualBreakCount="1">
    <brk id="45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167"/>
  <sheetViews>
    <sheetView zoomScalePageLayoutView="0" workbookViewId="0" topLeftCell="A140">
      <selection activeCell="I161" sqref="I161"/>
    </sheetView>
  </sheetViews>
  <sheetFormatPr defaultColWidth="9.140625" defaultRowHeight="12.75"/>
  <cols>
    <col min="1" max="1" width="12.421875" style="0" customWidth="1"/>
    <col min="2" max="2" width="11.28125" style="0" customWidth="1"/>
    <col min="3" max="3" width="30.57421875" style="0" customWidth="1"/>
    <col min="4" max="4" width="14.8515625" style="0" customWidth="1"/>
    <col min="5" max="5" width="18.7109375" style="0" customWidth="1"/>
    <col min="6" max="6" width="6.28125" style="0" customWidth="1"/>
    <col min="7" max="7" width="21.421875" style="0" customWidth="1"/>
    <col min="8" max="8" width="6.28125" style="0" customWidth="1"/>
    <col min="9" max="9" width="16.00390625" style="0" customWidth="1"/>
    <col min="10" max="10" width="6.28125" style="0" customWidth="1"/>
    <col min="11" max="11" width="16.00390625" style="0" customWidth="1"/>
    <col min="12" max="12" width="6.7109375" style="0" customWidth="1"/>
    <col min="13" max="14" width="13.7109375" style="0" customWidth="1"/>
    <col min="15" max="15" width="18.8515625" style="0" customWidth="1"/>
    <col min="16" max="16" width="8.28125" style="0" customWidth="1"/>
    <col min="17" max="17" width="17.57421875" style="0" customWidth="1"/>
    <col min="19" max="19" width="15.00390625" style="0" customWidth="1"/>
    <col min="21" max="21" width="14.7109375" style="0" customWidth="1"/>
    <col min="23" max="23" width="16.140625" style="0" customWidth="1"/>
  </cols>
  <sheetData>
    <row r="1" spans="1:9" s="120" customFormat="1" ht="11.25">
      <c r="A1" s="120" t="s">
        <v>86</v>
      </c>
      <c r="D1" s="122"/>
      <c r="E1" s="122"/>
      <c r="F1" s="122"/>
      <c r="G1" s="122"/>
      <c r="H1" s="122"/>
      <c r="I1" s="122"/>
    </row>
    <row r="2" spans="4:9" s="120" customFormat="1" ht="11.25">
      <c r="D2" s="122"/>
      <c r="E2" s="122"/>
      <c r="F2" s="122"/>
      <c r="G2" s="122"/>
      <c r="H2" s="122"/>
      <c r="I2" s="122"/>
    </row>
    <row r="3" spans="1:9" s="120" customFormat="1" ht="15.75">
      <c r="A3" s="150" t="s">
        <v>207</v>
      </c>
      <c r="D3" s="122"/>
      <c r="E3" s="122"/>
      <c r="F3" s="122"/>
      <c r="G3" s="122"/>
      <c r="H3" s="122"/>
      <c r="I3" s="122"/>
    </row>
    <row r="4" spans="2:22" s="120" customFormat="1" ht="11.25">
      <c r="B4" s="140"/>
      <c r="D4" s="121" t="s">
        <v>90</v>
      </c>
      <c r="E4" s="121"/>
      <c r="F4" s="121"/>
      <c r="G4" s="121"/>
      <c r="H4" s="121"/>
      <c r="I4" s="121"/>
      <c r="L4" s="123"/>
      <c r="M4" s="123"/>
      <c r="N4" s="123"/>
      <c r="O4" s="123"/>
      <c r="P4" s="123"/>
      <c r="R4" s="123"/>
      <c r="S4" s="123"/>
      <c r="T4" s="123"/>
      <c r="U4" s="123"/>
      <c r="V4" s="123"/>
    </row>
    <row r="5" spans="1:2" ht="12.75">
      <c r="A5" s="14" t="s">
        <v>208</v>
      </c>
      <c r="B5" s="20" t="s">
        <v>36</v>
      </c>
    </row>
    <row r="6" spans="2:4" ht="12.75">
      <c r="B6" s="20"/>
      <c r="C6" s="142" t="s">
        <v>127</v>
      </c>
      <c r="D6">
        <v>1</v>
      </c>
    </row>
    <row r="7" spans="2:4" ht="12.75">
      <c r="B7" s="20"/>
      <c r="C7" s="142" t="s">
        <v>128</v>
      </c>
      <c r="D7">
        <v>0.9</v>
      </c>
    </row>
    <row r="8" spans="2:4" ht="12.75">
      <c r="B8" s="20"/>
      <c r="C8" s="142" t="s">
        <v>130</v>
      </c>
      <c r="D8">
        <v>0.8</v>
      </c>
    </row>
    <row r="9" spans="2:4" ht="12.75">
      <c r="B9" s="20"/>
      <c r="C9" s="142" t="s">
        <v>129</v>
      </c>
      <c r="D9">
        <v>0.7</v>
      </c>
    </row>
    <row r="10" spans="2:4" ht="12.75">
      <c r="B10" s="20"/>
      <c r="C10" s="20"/>
      <c r="D10" s="20"/>
    </row>
    <row r="11" spans="1:4" ht="12.75">
      <c r="A11" s="14" t="s">
        <v>209</v>
      </c>
      <c r="B11" s="20" t="s">
        <v>131</v>
      </c>
      <c r="D11" t="s">
        <v>262</v>
      </c>
    </row>
    <row r="12" spans="2:4" ht="12.75">
      <c r="B12" s="20"/>
      <c r="C12" s="142" t="s">
        <v>132</v>
      </c>
      <c r="D12" s="27">
        <v>1</v>
      </c>
    </row>
    <row r="13" spans="2:4" ht="12.75">
      <c r="B13" s="20"/>
      <c r="C13" s="142" t="s">
        <v>133</v>
      </c>
      <c r="D13" s="27">
        <v>0.8</v>
      </c>
    </row>
    <row r="14" spans="2:4" ht="12.75">
      <c r="B14" s="20"/>
      <c r="C14" s="27"/>
      <c r="D14" s="27"/>
    </row>
    <row r="15" spans="1:5" ht="12.75">
      <c r="A15" s="14" t="s">
        <v>210</v>
      </c>
      <c r="B15" s="20" t="s">
        <v>62</v>
      </c>
      <c r="C15" s="27"/>
      <c r="D15" s="27"/>
      <c r="E15" s="27"/>
    </row>
    <row r="16" spans="2:5" ht="12.75">
      <c r="B16" s="20"/>
      <c r="C16" s="142" t="s">
        <v>134</v>
      </c>
      <c r="D16" s="27">
        <v>1</v>
      </c>
      <c r="E16" s="27"/>
    </row>
    <row r="17" spans="3:5" ht="12.75">
      <c r="C17" s="142" t="s">
        <v>135</v>
      </c>
      <c r="D17" s="27">
        <v>0.7</v>
      </c>
      <c r="E17" s="27"/>
    </row>
    <row r="18" spans="3:5" ht="12.75">
      <c r="C18" s="27"/>
      <c r="D18" s="27"/>
      <c r="E18" s="27"/>
    </row>
    <row r="19" spans="1:2" ht="12.75">
      <c r="A19" s="14" t="s">
        <v>211</v>
      </c>
      <c r="B19" t="s">
        <v>136</v>
      </c>
    </row>
    <row r="20" spans="3:5" ht="12.75">
      <c r="C20" s="142" t="s">
        <v>137</v>
      </c>
      <c r="D20" s="27">
        <v>1</v>
      </c>
      <c r="E20" s="27"/>
    </row>
    <row r="21" spans="3:5" ht="12.75">
      <c r="C21" s="142" t="s">
        <v>138</v>
      </c>
      <c r="D21" s="27">
        <v>0.85</v>
      </c>
      <c r="E21" s="27"/>
    </row>
    <row r="22" spans="3:5" ht="12.75">
      <c r="C22" s="187"/>
      <c r="D22" s="188"/>
      <c r="E22" s="27"/>
    </row>
    <row r="23" spans="3:5" ht="12.75">
      <c r="C23" s="27"/>
      <c r="D23" s="27"/>
      <c r="E23" s="27"/>
    </row>
    <row r="24" spans="1:5" ht="12.75">
      <c r="A24" s="14" t="s">
        <v>212</v>
      </c>
      <c r="B24" t="s">
        <v>375</v>
      </c>
      <c r="C24" s="27"/>
      <c r="D24" s="27"/>
      <c r="E24" s="27"/>
    </row>
    <row r="25" spans="1:5" ht="12.75">
      <c r="A25" s="14"/>
      <c r="C25" s="142" t="s">
        <v>127</v>
      </c>
      <c r="D25" s="27">
        <v>1</v>
      </c>
      <c r="E25" s="27"/>
    </row>
    <row r="26" spans="1:5" ht="12.75">
      <c r="A26" s="14"/>
      <c r="C26" s="142" t="s">
        <v>139</v>
      </c>
      <c r="D26" s="27">
        <v>0.85</v>
      </c>
      <c r="E26" s="27"/>
    </row>
    <row r="27" spans="1:5" ht="12.75">
      <c r="A27" s="14"/>
      <c r="C27" s="187"/>
      <c r="D27" s="188"/>
      <c r="E27" s="27"/>
    </row>
    <row r="28" spans="1:5" ht="12.75">
      <c r="A28" s="14"/>
      <c r="C28" s="27"/>
      <c r="D28" s="27"/>
      <c r="E28" s="27"/>
    </row>
    <row r="29" spans="1:5" ht="15.75">
      <c r="A29" s="150" t="s">
        <v>216</v>
      </c>
      <c r="C29" s="27"/>
      <c r="D29" s="27"/>
      <c r="E29" s="27"/>
    </row>
    <row r="30" spans="2:5" ht="12.75">
      <c r="B30" s="140"/>
      <c r="C30" s="27"/>
      <c r="D30" s="27" t="s">
        <v>414</v>
      </c>
      <c r="E30" s="27"/>
    </row>
    <row r="31" spans="1:5" ht="12.75">
      <c r="A31" s="14" t="s">
        <v>213</v>
      </c>
      <c r="B31" t="s">
        <v>140</v>
      </c>
      <c r="C31" s="142" t="s">
        <v>141</v>
      </c>
      <c r="D31" s="27">
        <v>0.85</v>
      </c>
      <c r="E31" s="27"/>
    </row>
    <row r="32" spans="3:5" ht="12.75">
      <c r="C32" s="142" t="s">
        <v>142</v>
      </c>
      <c r="D32" s="27">
        <v>1</v>
      </c>
      <c r="E32" s="27"/>
    </row>
    <row r="33" spans="3:5" ht="12.75">
      <c r="C33" s="27"/>
      <c r="D33" s="27"/>
      <c r="E33" s="27"/>
    </row>
    <row r="34" spans="1:5" ht="12.75">
      <c r="A34" s="14" t="s">
        <v>404</v>
      </c>
      <c r="B34" t="s">
        <v>376</v>
      </c>
      <c r="C34" s="27"/>
      <c r="D34" s="248" t="s">
        <v>263</v>
      </c>
      <c r="E34" s="248" t="s">
        <v>303</v>
      </c>
    </row>
    <row r="35" spans="3:5" ht="12.75">
      <c r="C35" s="142" t="s">
        <v>144</v>
      </c>
      <c r="D35" s="248">
        <v>0.6</v>
      </c>
      <c r="E35" s="248">
        <v>0.8</v>
      </c>
    </row>
    <row r="36" spans="3:5" ht="12.75">
      <c r="C36" s="142" t="s">
        <v>304</v>
      </c>
      <c r="D36" s="248">
        <v>0.8</v>
      </c>
      <c r="E36" s="248">
        <v>1</v>
      </c>
    </row>
    <row r="37" spans="3:5" ht="12.75">
      <c r="C37" s="142" t="s">
        <v>305</v>
      </c>
      <c r="D37" s="248">
        <v>1</v>
      </c>
      <c r="E37" s="248">
        <v>1</v>
      </c>
    </row>
    <row r="38" spans="3:5" ht="12.75">
      <c r="C38" s="27"/>
      <c r="D38" s="27"/>
      <c r="E38" s="27"/>
    </row>
    <row r="39" spans="1:5" ht="12.75">
      <c r="A39" s="14" t="s">
        <v>214</v>
      </c>
      <c r="B39" t="s">
        <v>145</v>
      </c>
      <c r="C39" s="27"/>
      <c r="D39" s="24" t="s">
        <v>152</v>
      </c>
      <c r="E39" s="257" t="s">
        <v>505</v>
      </c>
    </row>
    <row r="40" spans="3:5" ht="12.75">
      <c r="C40" s="142" t="s">
        <v>146</v>
      </c>
      <c r="D40" s="24">
        <v>1</v>
      </c>
      <c r="E40" s="257">
        <v>1</v>
      </c>
    </row>
    <row r="41" spans="3:5" ht="12.75">
      <c r="C41" s="142" t="s">
        <v>147</v>
      </c>
      <c r="D41" s="24">
        <v>0.9</v>
      </c>
      <c r="E41" s="257">
        <v>0.95</v>
      </c>
    </row>
    <row r="42" spans="3:5" ht="12.75">
      <c r="C42" s="142" t="s">
        <v>148</v>
      </c>
      <c r="D42" s="24">
        <v>0.7</v>
      </c>
      <c r="E42" s="257">
        <v>0.85</v>
      </c>
    </row>
    <row r="43" spans="3:5" ht="12.75">
      <c r="C43" s="142"/>
      <c r="D43" s="27"/>
      <c r="E43" s="257"/>
    </row>
    <row r="44" spans="1:5" ht="12.75">
      <c r="A44" s="14" t="s">
        <v>421</v>
      </c>
      <c r="B44" t="s">
        <v>389</v>
      </c>
      <c r="C44" s="142"/>
      <c r="D44" s="27"/>
      <c r="E44" s="27"/>
    </row>
    <row r="45" spans="2:5" ht="33.75">
      <c r="B45" t="s">
        <v>422</v>
      </c>
      <c r="C45" s="123" t="s">
        <v>423</v>
      </c>
      <c r="D45" s="248">
        <v>1</v>
      </c>
      <c r="E45" s="27"/>
    </row>
    <row r="46" spans="1:5" ht="33.75">
      <c r="A46" s="150"/>
      <c r="C46" s="123" t="s">
        <v>424</v>
      </c>
      <c r="D46" s="248">
        <v>0.95</v>
      </c>
      <c r="E46" s="27"/>
    </row>
    <row r="47" spans="1:5" ht="15.75">
      <c r="A47" s="150"/>
      <c r="B47" t="s">
        <v>425</v>
      </c>
      <c r="C47" s="142"/>
      <c r="D47" s="248"/>
      <c r="E47" s="27"/>
    </row>
    <row r="48" spans="1:5" ht="33.75">
      <c r="A48" s="150"/>
      <c r="C48" s="123" t="s">
        <v>402</v>
      </c>
      <c r="D48" s="248">
        <v>1</v>
      </c>
      <c r="E48" s="27"/>
    </row>
    <row r="49" spans="1:5" ht="22.5">
      <c r="A49" s="150"/>
      <c r="C49" s="123" t="s">
        <v>426</v>
      </c>
      <c r="D49" s="248">
        <v>0.9</v>
      </c>
      <c r="E49" s="27"/>
    </row>
    <row r="50" spans="1:5" ht="33.75">
      <c r="A50" s="150"/>
      <c r="C50" s="123" t="s">
        <v>427</v>
      </c>
      <c r="D50" s="248">
        <v>0.7</v>
      </c>
      <c r="E50" s="27"/>
    </row>
    <row r="51" spans="1:5" ht="15.75">
      <c r="A51" s="150"/>
      <c r="C51" s="142"/>
      <c r="D51" s="27"/>
      <c r="E51" s="27"/>
    </row>
    <row r="52" spans="3:5" ht="12.75">
      <c r="C52" s="27"/>
      <c r="D52" s="27"/>
      <c r="E52" s="27"/>
    </row>
    <row r="53" spans="1:5" ht="15.75">
      <c r="A53" s="150" t="s">
        <v>215</v>
      </c>
      <c r="C53" s="142"/>
      <c r="D53" s="27"/>
      <c r="E53" s="27"/>
    </row>
    <row r="55" spans="1:2" ht="12.75">
      <c r="A55" s="14" t="s">
        <v>213</v>
      </c>
      <c r="B55" t="s">
        <v>396</v>
      </c>
    </row>
    <row r="56" spans="1:4" ht="36">
      <c r="A56" s="14"/>
      <c r="C56" s="138" t="s">
        <v>402</v>
      </c>
      <c r="D56" s="2">
        <v>1</v>
      </c>
    </row>
    <row r="57" spans="1:4" ht="36">
      <c r="A57" s="14"/>
      <c r="C57" s="138" t="s">
        <v>397</v>
      </c>
      <c r="D57" s="2">
        <v>0.9</v>
      </c>
    </row>
    <row r="58" spans="1:4" ht="24">
      <c r="A58" s="14"/>
      <c r="C58" s="138" t="s">
        <v>399</v>
      </c>
      <c r="D58" s="2">
        <v>0.7</v>
      </c>
    </row>
    <row r="59" spans="1:4" ht="24">
      <c r="A59" s="14"/>
      <c r="C59" s="138" t="s">
        <v>398</v>
      </c>
      <c r="D59" s="2">
        <v>0.5</v>
      </c>
    </row>
    <row r="61" spans="1:5" ht="12.75">
      <c r="A61" s="14" t="s">
        <v>214</v>
      </c>
      <c r="B61" t="s">
        <v>157</v>
      </c>
      <c r="D61" s="27" t="s">
        <v>159</v>
      </c>
      <c r="E61" s="27" t="s">
        <v>151</v>
      </c>
    </row>
    <row r="62" spans="3:5" ht="12.75">
      <c r="C62" s="120" t="s">
        <v>158</v>
      </c>
      <c r="D62" s="27">
        <v>1</v>
      </c>
      <c r="E62" s="24">
        <v>1</v>
      </c>
    </row>
    <row r="63" spans="3:5" ht="12.75">
      <c r="C63" s="120" t="s">
        <v>264</v>
      </c>
      <c r="D63" s="27">
        <v>0.8</v>
      </c>
      <c r="E63" s="24">
        <v>0.9</v>
      </c>
    </row>
    <row r="65" spans="1:5" ht="15" customHeight="1">
      <c r="A65" s="150" t="s">
        <v>377</v>
      </c>
      <c r="C65" s="27"/>
      <c r="D65" s="27"/>
      <c r="E65" s="27"/>
    </row>
    <row r="66" spans="1:5" ht="12.75">
      <c r="A66" s="14" t="s">
        <v>378</v>
      </c>
      <c r="B66" s="140" t="s">
        <v>117</v>
      </c>
      <c r="C66" s="27"/>
      <c r="D66" s="24" t="s">
        <v>388</v>
      </c>
      <c r="E66" s="257" t="s">
        <v>151</v>
      </c>
    </row>
    <row r="67" spans="3:5" ht="12.75">
      <c r="C67" s="120" t="s">
        <v>125</v>
      </c>
      <c r="D67" s="24">
        <v>1</v>
      </c>
      <c r="E67" s="257">
        <v>1</v>
      </c>
    </row>
    <row r="68" spans="3:5" ht="12.75">
      <c r="C68" s="120" t="s">
        <v>126</v>
      </c>
      <c r="D68" s="24">
        <v>0.8</v>
      </c>
      <c r="E68" s="257">
        <v>0.95</v>
      </c>
    </row>
    <row r="69" spans="3:5" ht="12.75">
      <c r="C69" s="120" t="s">
        <v>265</v>
      </c>
      <c r="D69" s="2">
        <v>0.5</v>
      </c>
      <c r="E69" s="260">
        <v>0.85</v>
      </c>
    </row>
    <row r="70" spans="4:9" s="120" customFormat="1" ht="11.25">
      <c r="D70" s="122"/>
      <c r="E70" s="122"/>
      <c r="F70" s="122"/>
      <c r="G70" s="122"/>
      <c r="H70" s="122"/>
      <c r="I70" s="122"/>
    </row>
    <row r="71" spans="1:9" s="120" customFormat="1" ht="12.75">
      <c r="A71" s="14" t="s">
        <v>379</v>
      </c>
      <c r="B71" s="120" t="s">
        <v>380</v>
      </c>
      <c r="C71" s="120" t="s">
        <v>266</v>
      </c>
      <c r="D71" s="144" t="s">
        <v>382</v>
      </c>
      <c r="E71" s="139"/>
      <c r="F71" s="139"/>
      <c r="G71" s="122"/>
      <c r="H71" s="122"/>
      <c r="I71" s="122"/>
    </row>
    <row r="72" spans="1:9" s="120" customFormat="1" ht="12.75">
      <c r="A72" s="14"/>
      <c r="C72" s="120" t="s">
        <v>266</v>
      </c>
      <c r="D72" s="144" t="s">
        <v>382</v>
      </c>
      <c r="E72" s="139"/>
      <c r="F72" s="139"/>
      <c r="G72" s="122"/>
      <c r="H72" s="122"/>
      <c r="I72" s="122"/>
    </row>
    <row r="73" spans="1:9" s="120" customFormat="1" ht="12.75">
      <c r="A73" s="14"/>
      <c r="C73" s="120" t="s">
        <v>381</v>
      </c>
      <c r="D73" s="122">
        <v>1</v>
      </c>
      <c r="E73" s="139"/>
      <c r="F73" s="139"/>
      <c r="G73" s="122"/>
      <c r="H73" s="122"/>
      <c r="I73" s="122"/>
    </row>
    <row r="74" spans="1:9" s="120" customFormat="1" ht="12.75">
      <c r="A74" s="14"/>
      <c r="E74" s="139"/>
      <c r="F74" s="139"/>
      <c r="G74" s="122"/>
      <c r="H74" s="122"/>
      <c r="I74" s="122"/>
    </row>
    <row r="75" spans="1:21" s="120" customFormat="1" ht="12.75">
      <c r="A75" s="14"/>
      <c r="B75" s="243" t="s">
        <v>266</v>
      </c>
      <c r="E75" s="139"/>
      <c r="F75" s="139"/>
      <c r="G75" s="122"/>
      <c r="H75" s="122"/>
      <c r="I75" s="122"/>
      <c r="N75" s="243" t="s">
        <v>266</v>
      </c>
      <c r="Q75" s="139"/>
      <c r="R75" s="139"/>
      <c r="S75" s="122"/>
      <c r="T75" s="122"/>
      <c r="U75" s="122"/>
    </row>
    <row r="76" spans="2:24" s="120" customFormat="1" ht="12.75">
      <c r="B76" s="18" t="s">
        <v>40</v>
      </c>
      <c r="D76" s="242"/>
      <c r="E76" s="241"/>
      <c r="F76" s="241"/>
      <c r="G76" s="226"/>
      <c r="H76" s="226"/>
      <c r="I76" s="226"/>
      <c r="J76" s="227"/>
      <c r="K76" s="227"/>
      <c r="L76" s="227"/>
      <c r="N76" s="18" t="s">
        <v>40</v>
      </c>
      <c r="P76" s="242"/>
      <c r="Q76" s="241"/>
      <c r="R76" s="241"/>
      <c r="S76" s="226"/>
      <c r="T76" s="226"/>
      <c r="U76" s="226"/>
      <c r="V76" s="227"/>
      <c r="W76" s="227"/>
      <c r="X76" s="227"/>
    </row>
    <row r="77" spans="3:24" s="120" customFormat="1" ht="13.5" customHeight="1">
      <c r="C77" s="244" t="s">
        <v>330</v>
      </c>
      <c r="D77" s="245"/>
      <c r="E77" s="245" t="s">
        <v>331</v>
      </c>
      <c r="F77" s="245"/>
      <c r="G77" s="245" t="s">
        <v>329</v>
      </c>
      <c r="H77" s="246"/>
      <c r="I77" s="246"/>
      <c r="J77" s="245" t="s">
        <v>332</v>
      </c>
      <c r="K77" s="245" t="s">
        <v>333</v>
      </c>
      <c r="L77" s="225"/>
      <c r="O77" s="244" t="s">
        <v>330</v>
      </c>
      <c r="P77" s="245"/>
      <c r="Q77" s="245" t="s">
        <v>331</v>
      </c>
      <c r="R77" s="245"/>
      <c r="S77" s="245" t="s">
        <v>329</v>
      </c>
      <c r="T77" s="246"/>
      <c r="U77" s="246"/>
      <c r="V77" s="245" t="s">
        <v>332</v>
      </c>
      <c r="W77" s="245" t="s">
        <v>333</v>
      </c>
      <c r="X77" s="225"/>
    </row>
    <row r="78" spans="3:24" s="120" customFormat="1" ht="23.25" customHeight="1">
      <c r="C78" s="229" t="s">
        <v>268</v>
      </c>
      <c r="D78" s="226"/>
      <c r="E78" s="231" t="s">
        <v>271</v>
      </c>
      <c r="F78" s="226"/>
      <c r="G78" s="231" t="s">
        <v>282</v>
      </c>
      <c r="H78" s="226"/>
      <c r="I78" s="231" t="s">
        <v>269</v>
      </c>
      <c r="J78" s="226"/>
      <c r="K78" s="231" t="s">
        <v>110</v>
      </c>
      <c r="L78" s="228"/>
      <c r="O78" s="229" t="s">
        <v>268</v>
      </c>
      <c r="P78" s="226"/>
      <c r="Q78" s="231" t="s">
        <v>271</v>
      </c>
      <c r="R78" s="226"/>
      <c r="S78" s="231" t="s">
        <v>282</v>
      </c>
      <c r="T78" s="226"/>
      <c r="U78" s="231" t="s">
        <v>269</v>
      </c>
      <c r="V78" s="226"/>
      <c r="W78" s="231" t="s">
        <v>110</v>
      </c>
      <c r="X78" s="228"/>
    </row>
    <row r="79" spans="3:24" s="120" customFormat="1" ht="38.25" customHeight="1">
      <c r="C79" s="229" t="s">
        <v>271</v>
      </c>
      <c r="D79" s="226"/>
      <c r="E79" s="231" t="s">
        <v>112</v>
      </c>
      <c r="F79" s="226"/>
      <c r="G79" s="231" t="s">
        <v>292</v>
      </c>
      <c r="H79" s="226"/>
      <c r="I79" s="231" t="s">
        <v>165</v>
      </c>
      <c r="J79" s="226"/>
      <c r="K79" s="231" t="s">
        <v>273</v>
      </c>
      <c r="L79" s="228"/>
      <c r="O79" s="229" t="s">
        <v>271</v>
      </c>
      <c r="P79" s="226"/>
      <c r="Q79" s="231" t="s">
        <v>112</v>
      </c>
      <c r="R79" s="226"/>
      <c r="S79" s="231" t="s">
        <v>292</v>
      </c>
      <c r="T79" s="226"/>
      <c r="U79" s="231" t="s">
        <v>165</v>
      </c>
      <c r="V79" s="226"/>
      <c r="W79" s="231" t="s">
        <v>273</v>
      </c>
      <c r="X79" s="228"/>
    </row>
    <row r="80" spans="3:24" s="120" customFormat="1" ht="24.75" customHeight="1">
      <c r="C80" s="229" t="s">
        <v>112</v>
      </c>
      <c r="D80" s="226"/>
      <c r="E80" s="231" t="s">
        <v>113</v>
      </c>
      <c r="F80" s="226"/>
      <c r="G80" s="233" t="s">
        <v>288</v>
      </c>
      <c r="H80" s="251">
        <f>IF(T80=0,0,(Kertoimet_materiaali!S$21+T80)/Kertoimet_materiaali!S$21)</f>
        <v>2</v>
      </c>
      <c r="I80" s="231" t="s">
        <v>166</v>
      </c>
      <c r="J80" s="226"/>
      <c r="K80" s="231" t="s">
        <v>112</v>
      </c>
      <c r="L80" s="228"/>
      <c r="O80" s="229" t="s">
        <v>112</v>
      </c>
      <c r="P80" s="226"/>
      <c r="Q80" s="231" t="s">
        <v>113</v>
      </c>
      <c r="R80" s="226"/>
      <c r="S80" s="233" t="s">
        <v>288</v>
      </c>
      <c r="T80" s="241">
        <v>45</v>
      </c>
      <c r="U80" s="231" t="s">
        <v>166</v>
      </c>
      <c r="V80" s="226"/>
      <c r="W80" s="231" t="s">
        <v>112</v>
      </c>
      <c r="X80" s="228"/>
    </row>
    <row r="81" spans="3:24" s="120" customFormat="1" ht="33" customHeight="1">
      <c r="C81" s="229" t="s">
        <v>113</v>
      </c>
      <c r="D81" s="226"/>
      <c r="E81" s="231" t="s">
        <v>272</v>
      </c>
      <c r="F81" s="226"/>
      <c r="G81" s="226"/>
      <c r="H81" s="226"/>
      <c r="I81" s="231" t="s">
        <v>112</v>
      </c>
      <c r="J81" s="226"/>
      <c r="K81" s="231" t="s">
        <v>113</v>
      </c>
      <c r="L81" s="228"/>
      <c r="O81" s="229" t="s">
        <v>113</v>
      </c>
      <c r="P81" s="226"/>
      <c r="Q81" s="231" t="s">
        <v>272</v>
      </c>
      <c r="R81" s="226"/>
      <c r="S81" s="226"/>
      <c r="T81" s="226"/>
      <c r="U81" s="231" t="s">
        <v>112</v>
      </c>
      <c r="V81" s="226"/>
      <c r="W81" s="231" t="s">
        <v>113</v>
      </c>
      <c r="X81" s="228"/>
    </row>
    <row r="82" spans="3:24" s="120" customFormat="1" ht="34.5" customHeight="1">
      <c r="C82" s="229" t="s">
        <v>272</v>
      </c>
      <c r="D82" s="226"/>
      <c r="E82" s="233" t="s">
        <v>288</v>
      </c>
      <c r="F82" s="251">
        <f>IF(R82=0,0,(Kertoimet_materiaali!R$23+R82)/Kertoimet_materiaali!R$23)</f>
        <v>1.875</v>
      </c>
      <c r="G82" s="226"/>
      <c r="H82" s="226"/>
      <c r="I82" s="231" t="s">
        <v>113</v>
      </c>
      <c r="J82" s="226"/>
      <c r="K82" s="231" t="s">
        <v>114</v>
      </c>
      <c r="L82" s="228"/>
      <c r="O82" s="229" t="s">
        <v>272</v>
      </c>
      <c r="P82" s="226"/>
      <c r="Q82" s="233" t="s">
        <v>288</v>
      </c>
      <c r="R82" s="226">
        <v>35</v>
      </c>
      <c r="S82" s="226"/>
      <c r="T82" s="226"/>
      <c r="U82" s="231" t="s">
        <v>113</v>
      </c>
      <c r="V82" s="226"/>
      <c r="W82" s="231" t="s">
        <v>114</v>
      </c>
      <c r="X82" s="228"/>
    </row>
    <row r="83" spans="3:24" s="120" customFormat="1" ht="44.25" customHeight="1">
      <c r="C83" s="229" t="s">
        <v>95</v>
      </c>
      <c r="D83" s="226"/>
      <c r="E83" s="233" t="s">
        <v>289</v>
      </c>
      <c r="F83" s="251">
        <f>IF(R83=0,0,(Kertoimet_materiaali!R$24+R83)/Kertoimet_materiaali!R$24)</f>
        <v>1.8888888888888888</v>
      </c>
      <c r="G83" s="226"/>
      <c r="H83" s="226"/>
      <c r="I83" s="233" t="s">
        <v>285</v>
      </c>
      <c r="J83" s="251">
        <f>IF(V83=0,0,(Kertoimet_materiaali!T$24+V83)/Kertoimet_materiaali!T$24)</f>
        <v>1.8333333333333333</v>
      </c>
      <c r="K83" s="233" t="s">
        <v>283</v>
      </c>
      <c r="L83" s="252">
        <f>IF(X83=0,0,(Kertoimet_materiaali!U$24+X83)/Kertoimet_materiaali!U$24)</f>
        <v>2.5</v>
      </c>
      <c r="O83" s="229" t="s">
        <v>95</v>
      </c>
      <c r="P83" s="226"/>
      <c r="Q83" s="233" t="s">
        <v>289</v>
      </c>
      <c r="R83" s="226">
        <v>40</v>
      </c>
      <c r="S83" s="226"/>
      <c r="T83" s="226"/>
      <c r="U83" s="233" t="s">
        <v>285</v>
      </c>
      <c r="V83" s="226">
        <v>25</v>
      </c>
      <c r="W83" s="233" t="s">
        <v>283</v>
      </c>
      <c r="X83" s="235">
        <v>45</v>
      </c>
    </row>
    <row r="84" spans="3:24" s="120" customFormat="1" ht="36.75" customHeight="1">
      <c r="C84" s="236" t="s">
        <v>288</v>
      </c>
      <c r="D84" s="251">
        <f>IF(P84=0,0,(Kertoimet_materiaali!Q$25+P84)/Kertoimet_materiaali!Q$25)</f>
        <v>1.875</v>
      </c>
      <c r="E84" s="233" t="s">
        <v>290</v>
      </c>
      <c r="F84" s="251">
        <f>IF(R84=0,0,(Kertoimet_materiaali!R$25+R84)/Kertoimet_materiaali!R$25)</f>
        <v>1.9</v>
      </c>
      <c r="G84" s="226"/>
      <c r="H84" s="227"/>
      <c r="I84" s="233" t="s">
        <v>286</v>
      </c>
      <c r="J84" s="251">
        <f>IF(V84=0,0,(Kertoimet_materiaali!T$25+V84)/Kertoimet_materiaali!T$25)</f>
        <v>1.8333333333333333</v>
      </c>
      <c r="K84" s="233" t="s">
        <v>284</v>
      </c>
      <c r="L84" s="252">
        <f>IF(X84=0,0,(Kertoimet_materiaali!U$25+X84)/Kertoimet_materiaali!U$25)</f>
        <v>2.5</v>
      </c>
      <c r="O84" s="236" t="s">
        <v>288</v>
      </c>
      <c r="P84" s="226">
        <v>35</v>
      </c>
      <c r="Q84" s="233" t="s">
        <v>290</v>
      </c>
      <c r="R84" s="226">
        <v>45</v>
      </c>
      <c r="S84" s="226"/>
      <c r="T84" s="227"/>
      <c r="U84" s="233" t="s">
        <v>286</v>
      </c>
      <c r="V84" s="226">
        <v>25</v>
      </c>
      <c r="W84" s="233" t="s">
        <v>284</v>
      </c>
      <c r="X84" s="235">
        <v>45</v>
      </c>
    </row>
    <row r="85" spans="3:24" s="120" customFormat="1" ht="25.5" customHeight="1">
      <c r="C85" s="236" t="s">
        <v>289</v>
      </c>
      <c r="D85" s="251">
        <f>IF(P85=0,0,(Kertoimet_materiaali!Q$26+P85)/Kertoimet_materiaali!Q$26)</f>
        <v>1.8888888888888888</v>
      </c>
      <c r="E85" s="226"/>
      <c r="F85" s="227"/>
      <c r="G85" s="227"/>
      <c r="H85" s="226"/>
      <c r="I85" s="233" t="s">
        <v>287</v>
      </c>
      <c r="J85" s="251">
        <f>IF(V85=0,0,(Kertoimet_materiaali!T$26+V85)/Kertoimet_materiaali!T$26)</f>
        <v>1.8</v>
      </c>
      <c r="K85" s="227"/>
      <c r="L85" s="228"/>
      <c r="O85" s="236" t="s">
        <v>289</v>
      </c>
      <c r="P85" s="226">
        <v>40</v>
      </c>
      <c r="Q85" s="226"/>
      <c r="R85" s="227"/>
      <c r="S85" s="227"/>
      <c r="T85" s="226"/>
      <c r="U85" s="233" t="s">
        <v>287</v>
      </c>
      <c r="V85" s="226">
        <v>20</v>
      </c>
      <c r="W85" s="227"/>
      <c r="X85" s="228"/>
    </row>
    <row r="86" spans="3:24" s="120" customFormat="1" ht="23.25" customHeight="1">
      <c r="C86" s="236" t="s">
        <v>290</v>
      </c>
      <c r="D86" s="251">
        <f>IF(P86=0,0,(Kertoimet_materiaali!Q$27+P86)/Kertoimet_materiaali!Q$27)</f>
        <v>1.9</v>
      </c>
      <c r="E86" s="226"/>
      <c r="F86" s="227"/>
      <c r="G86" s="227"/>
      <c r="H86" s="226"/>
      <c r="I86" s="227"/>
      <c r="J86" s="227"/>
      <c r="K86" s="227"/>
      <c r="L86" s="228"/>
      <c r="O86" s="236" t="s">
        <v>290</v>
      </c>
      <c r="P86" s="226">
        <v>45</v>
      </c>
      <c r="Q86" s="226"/>
      <c r="R86" s="227"/>
      <c r="S86" s="227"/>
      <c r="T86" s="226"/>
      <c r="U86" s="227"/>
      <c r="V86" s="227"/>
      <c r="W86" s="227"/>
      <c r="X86" s="228"/>
    </row>
    <row r="87" spans="3:24" s="120" customFormat="1" ht="22.5" customHeight="1">
      <c r="C87" s="237" t="s">
        <v>291</v>
      </c>
      <c r="D87" s="253">
        <f>IF(P87=0,0,(Kertoimet_materiaali!Q$28+P87)/Kertoimet_materiaali!Q$28)</f>
        <v>2.5</v>
      </c>
      <c r="E87" s="238"/>
      <c r="F87" s="238"/>
      <c r="G87" s="238"/>
      <c r="H87" s="238"/>
      <c r="I87" s="239"/>
      <c r="J87" s="239"/>
      <c r="K87" s="239"/>
      <c r="L87" s="240"/>
      <c r="O87" s="237" t="s">
        <v>291</v>
      </c>
      <c r="P87" s="238">
        <v>15</v>
      </c>
      <c r="Q87" s="238"/>
      <c r="R87" s="238"/>
      <c r="S87" s="238"/>
      <c r="T87" s="238"/>
      <c r="U87" s="239"/>
      <c r="V87" s="239"/>
      <c r="W87" s="239"/>
      <c r="X87" s="240"/>
    </row>
    <row r="88" spans="3:20" s="142" customFormat="1" ht="12.75" customHeight="1">
      <c r="C88" s="181"/>
      <c r="D88" s="130"/>
      <c r="E88" s="130"/>
      <c r="F88" s="130"/>
      <c r="G88" s="130"/>
      <c r="H88" s="130"/>
      <c r="O88" s="181"/>
      <c r="P88" s="130"/>
      <c r="Q88" s="130"/>
      <c r="R88" s="130"/>
      <c r="S88" s="130"/>
      <c r="T88" s="130"/>
    </row>
    <row r="89" spans="1:21" s="120" customFormat="1" ht="12.75">
      <c r="A89" s="14"/>
      <c r="B89" s="243" t="s">
        <v>266</v>
      </c>
      <c r="E89" s="139"/>
      <c r="F89" s="139"/>
      <c r="G89" s="122"/>
      <c r="H89" s="122"/>
      <c r="I89" s="122"/>
      <c r="N89" s="243" t="s">
        <v>266</v>
      </c>
      <c r="Q89" s="139"/>
      <c r="R89" s="139"/>
      <c r="S89" s="122"/>
      <c r="T89" s="122"/>
      <c r="U89" s="122"/>
    </row>
    <row r="90" spans="2:24" s="120" customFormat="1" ht="12.75">
      <c r="B90" s="18" t="s">
        <v>41</v>
      </c>
      <c r="D90" s="242"/>
      <c r="E90" s="241"/>
      <c r="F90" s="241"/>
      <c r="G90" s="226"/>
      <c r="H90" s="226"/>
      <c r="I90" s="226"/>
      <c r="J90" s="227"/>
      <c r="K90" s="227"/>
      <c r="L90" s="227"/>
      <c r="N90" s="18" t="s">
        <v>41</v>
      </c>
      <c r="P90" s="242"/>
      <c r="Q90" s="241"/>
      <c r="R90" s="241"/>
      <c r="S90" s="226"/>
      <c r="T90" s="226"/>
      <c r="U90" s="226"/>
      <c r="V90" s="227"/>
      <c r="W90" s="227"/>
      <c r="X90" s="227"/>
    </row>
    <row r="91" spans="3:24" s="120" customFormat="1" ht="13.5" customHeight="1">
      <c r="C91" s="244" t="s">
        <v>330</v>
      </c>
      <c r="D91" s="245"/>
      <c r="E91" s="245" t="s">
        <v>331</v>
      </c>
      <c r="F91" s="245"/>
      <c r="G91" s="245" t="s">
        <v>329</v>
      </c>
      <c r="H91" s="246"/>
      <c r="I91" s="246"/>
      <c r="J91" s="245" t="s">
        <v>332</v>
      </c>
      <c r="K91" s="245" t="s">
        <v>333</v>
      </c>
      <c r="L91" s="225"/>
      <c r="O91" s="244" t="s">
        <v>330</v>
      </c>
      <c r="P91" s="245"/>
      <c r="Q91" s="245" t="s">
        <v>331</v>
      </c>
      <c r="R91" s="245"/>
      <c r="S91" s="245" t="s">
        <v>329</v>
      </c>
      <c r="T91" s="246"/>
      <c r="U91" s="246"/>
      <c r="V91" s="245" t="s">
        <v>332</v>
      </c>
      <c r="W91" s="245" t="s">
        <v>333</v>
      </c>
      <c r="X91" s="225"/>
    </row>
    <row r="92" spans="3:24" s="120" customFormat="1" ht="33" customHeight="1">
      <c r="C92" s="229" t="s">
        <v>268</v>
      </c>
      <c r="D92" s="226"/>
      <c r="E92" s="231" t="s">
        <v>271</v>
      </c>
      <c r="F92" s="226"/>
      <c r="G92" s="231" t="s">
        <v>282</v>
      </c>
      <c r="H92" s="226"/>
      <c r="I92" s="231" t="s">
        <v>269</v>
      </c>
      <c r="J92" s="226"/>
      <c r="K92" s="231" t="s">
        <v>110</v>
      </c>
      <c r="L92" s="228"/>
      <c r="O92" s="229" t="s">
        <v>268</v>
      </c>
      <c r="P92" s="226"/>
      <c r="Q92" s="231" t="s">
        <v>271</v>
      </c>
      <c r="R92" s="226"/>
      <c r="S92" s="231" t="s">
        <v>282</v>
      </c>
      <c r="T92" s="226"/>
      <c r="U92" s="231" t="s">
        <v>269</v>
      </c>
      <c r="V92" s="226"/>
      <c r="W92" s="231" t="s">
        <v>110</v>
      </c>
      <c r="X92" s="228"/>
    </row>
    <row r="93" spans="3:24" s="120" customFormat="1" ht="37.5" customHeight="1">
      <c r="C93" s="229" t="s">
        <v>271</v>
      </c>
      <c r="D93" s="226"/>
      <c r="E93" s="231" t="s">
        <v>112</v>
      </c>
      <c r="F93" s="226"/>
      <c r="G93" s="231" t="s">
        <v>292</v>
      </c>
      <c r="H93" s="226"/>
      <c r="I93" s="231" t="s">
        <v>165</v>
      </c>
      <c r="J93" s="226"/>
      <c r="K93" s="231" t="s">
        <v>273</v>
      </c>
      <c r="L93" s="228"/>
      <c r="O93" s="229" t="s">
        <v>271</v>
      </c>
      <c r="P93" s="226"/>
      <c r="Q93" s="231" t="s">
        <v>112</v>
      </c>
      <c r="R93" s="226"/>
      <c r="S93" s="231" t="s">
        <v>292</v>
      </c>
      <c r="T93" s="226"/>
      <c r="U93" s="231" t="s">
        <v>165</v>
      </c>
      <c r="V93" s="226"/>
      <c r="W93" s="231" t="s">
        <v>273</v>
      </c>
      <c r="X93" s="228"/>
    </row>
    <row r="94" spans="3:24" s="120" customFormat="1" ht="39.75" customHeight="1">
      <c r="C94" s="229" t="s">
        <v>112</v>
      </c>
      <c r="D94" s="226"/>
      <c r="E94" s="231" t="s">
        <v>113</v>
      </c>
      <c r="F94" s="226"/>
      <c r="G94" s="233" t="s">
        <v>288</v>
      </c>
      <c r="H94" s="251">
        <f>IF(T94=0,0,(Kertoimet_materiaali!S$21+T94)/Kertoimet_materiaali!S$21)</f>
        <v>2</v>
      </c>
      <c r="I94" s="231" t="s">
        <v>166</v>
      </c>
      <c r="J94" s="226"/>
      <c r="K94" s="231" t="s">
        <v>112</v>
      </c>
      <c r="L94" s="228"/>
      <c r="O94" s="229" t="s">
        <v>112</v>
      </c>
      <c r="P94" s="226"/>
      <c r="Q94" s="231" t="s">
        <v>113</v>
      </c>
      <c r="R94" s="226"/>
      <c r="S94" s="233" t="s">
        <v>288</v>
      </c>
      <c r="T94" s="226">
        <f>IF(Rasitusluokka=1,45,IF(Rasitusluokka=2,40,40))</f>
        <v>45</v>
      </c>
      <c r="U94" s="231" t="s">
        <v>166</v>
      </c>
      <c r="V94" s="226"/>
      <c r="W94" s="231" t="s">
        <v>112</v>
      </c>
      <c r="X94" s="228"/>
    </row>
    <row r="95" spans="3:24" s="120" customFormat="1" ht="33" customHeight="1">
      <c r="C95" s="229" t="s">
        <v>113</v>
      </c>
      <c r="D95" s="226"/>
      <c r="E95" s="231" t="s">
        <v>272</v>
      </c>
      <c r="F95" s="226"/>
      <c r="G95" s="226"/>
      <c r="H95" s="226"/>
      <c r="I95" s="231" t="s">
        <v>112</v>
      </c>
      <c r="J95" s="226"/>
      <c r="K95" s="231" t="s">
        <v>113</v>
      </c>
      <c r="L95" s="228"/>
      <c r="O95" s="229" t="s">
        <v>113</v>
      </c>
      <c r="P95" s="226"/>
      <c r="Q95" s="231" t="s">
        <v>272</v>
      </c>
      <c r="R95" s="226"/>
      <c r="S95" s="226"/>
      <c r="T95" s="226"/>
      <c r="U95" s="231" t="s">
        <v>112</v>
      </c>
      <c r="V95" s="226"/>
      <c r="W95" s="231" t="s">
        <v>113</v>
      </c>
      <c r="X95" s="228"/>
    </row>
    <row r="96" spans="3:24" s="120" customFormat="1" ht="40.5" customHeight="1">
      <c r="C96" s="229" t="s">
        <v>272</v>
      </c>
      <c r="D96" s="226"/>
      <c r="E96" s="233" t="s">
        <v>288</v>
      </c>
      <c r="F96" s="251">
        <f>IF(R96=0,0,(Kertoimet_materiaali!R$23+R96)/Kertoimet_materiaali!R$23)</f>
        <v>1.75</v>
      </c>
      <c r="G96" s="226"/>
      <c r="H96" s="226"/>
      <c r="I96" s="231" t="s">
        <v>113</v>
      </c>
      <c r="J96" s="226"/>
      <c r="K96" s="231" t="s">
        <v>114</v>
      </c>
      <c r="L96" s="228"/>
      <c r="O96" s="229" t="s">
        <v>272</v>
      </c>
      <c r="P96" s="226"/>
      <c r="Q96" s="233" t="s">
        <v>288</v>
      </c>
      <c r="R96" s="226">
        <v>30</v>
      </c>
      <c r="S96" s="226"/>
      <c r="T96" s="226"/>
      <c r="U96" s="231" t="s">
        <v>113</v>
      </c>
      <c r="V96" s="226"/>
      <c r="W96" s="231" t="s">
        <v>114</v>
      </c>
      <c r="X96" s="228"/>
    </row>
    <row r="97" spans="3:24" s="120" customFormat="1" ht="44.25" customHeight="1">
      <c r="C97" s="229" t="s">
        <v>95</v>
      </c>
      <c r="D97" s="226"/>
      <c r="E97" s="233" t="s">
        <v>289</v>
      </c>
      <c r="F97" s="251">
        <f>IF(R97=0,0,(Kertoimet_materiaali!R$24+R97)/Kertoimet_materiaali!R$24)</f>
        <v>1.7777777777777777</v>
      </c>
      <c r="G97" s="226"/>
      <c r="H97" s="226"/>
      <c r="I97" s="233" t="s">
        <v>285</v>
      </c>
      <c r="J97" s="251">
        <f>IF(V97=0,0,(Kertoimet_materiaali!T$24+V97)/Kertoimet_materiaali!T$24)</f>
        <v>1.6666666666666667</v>
      </c>
      <c r="K97" s="233" t="s">
        <v>283</v>
      </c>
      <c r="L97" s="255">
        <f>IF(X97=0,0,(Kertoimet_materiaali!U$24+X97)/Kertoimet_materiaali!U$24)</f>
        <v>2</v>
      </c>
      <c r="O97" s="229" t="s">
        <v>95</v>
      </c>
      <c r="P97" s="226"/>
      <c r="Q97" s="233" t="s">
        <v>289</v>
      </c>
      <c r="R97" s="226">
        <v>35</v>
      </c>
      <c r="S97" s="226"/>
      <c r="T97" s="226"/>
      <c r="U97" s="233" t="s">
        <v>285</v>
      </c>
      <c r="V97" s="226">
        <v>20</v>
      </c>
      <c r="W97" s="233" t="s">
        <v>283</v>
      </c>
      <c r="X97" s="235">
        <v>30</v>
      </c>
    </row>
    <row r="98" spans="3:24" s="120" customFormat="1" ht="36.75" customHeight="1">
      <c r="C98" s="236" t="s">
        <v>288</v>
      </c>
      <c r="D98" s="251">
        <f>IF(P98=0,0,(Kertoimet_materiaali!Q$25+P98)/Kertoimet_materiaali!Q$25)</f>
        <v>1.75</v>
      </c>
      <c r="E98" s="233" t="s">
        <v>290</v>
      </c>
      <c r="F98" s="251">
        <f>IF(R98=0,0,(Kertoimet_materiaali!R$25+R98)/Kertoimet_materiaali!R$25)</f>
        <v>1.8</v>
      </c>
      <c r="G98" s="226"/>
      <c r="H98" s="227"/>
      <c r="I98" s="233" t="s">
        <v>286</v>
      </c>
      <c r="J98" s="251">
        <f>IF(V98=0,0,(Kertoimet_materiaali!T$25+V98)/Kertoimet_materiaali!T$25)</f>
        <v>1.6666666666666667</v>
      </c>
      <c r="K98" s="233" t="s">
        <v>284</v>
      </c>
      <c r="L98" s="252">
        <f>IF(X98=0,0,(Kertoimet_materiaali!U$25+X98)/Kertoimet_materiaali!U$25)</f>
        <v>2.1666666666666665</v>
      </c>
      <c r="O98" s="236" t="s">
        <v>288</v>
      </c>
      <c r="P98" s="226">
        <v>30</v>
      </c>
      <c r="Q98" s="233" t="s">
        <v>290</v>
      </c>
      <c r="R98" s="226">
        <v>40</v>
      </c>
      <c r="S98" s="226"/>
      <c r="T98" s="227"/>
      <c r="U98" s="233" t="s">
        <v>286</v>
      </c>
      <c r="V98" s="226">
        <v>20</v>
      </c>
      <c r="W98" s="233" t="s">
        <v>284</v>
      </c>
      <c r="X98" s="235">
        <v>35</v>
      </c>
    </row>
    <row r="99" spans="3:24" s="120" customFormat="1" ht="25.5" customHeight="1">
      <c r="C99" s="236" t="s">
        <v>289</v>
      </c>
      <c r="D99" s="251">
        <f>IF(P99=0,0,(Kertoimet_materiaali!Q$26+P99)/Kertoimet_materiaali!Q$26)</f>
        <v>1.7777777777777777</v>
      </c>
      <c r="E99" s="226"/>
      <c r="F99" s="227"/>
      <c r="G99" s="227"/>
      <c r="H99" s="226"/>
      <c r="I99" s="233" t="s">
        <v>287</v>
      </c>
      <c r="J99" s="251">
        <f>IF(V99=0,0,(Kertoimet_materiaali!T$26+V99)/Kertoimet_materiaali!T$26)</f>
        <v>1.6</v>
      </c>
      <c r="K99" s="227"/>
      <c r="L99" s="228"/>
      <c r="O99" s="236" t="s">
        <v>289</v>
      </c>
      <c r="P99" s="226">
        <v>35</v>
      </c>
      <c r="Q99" s="226"/>
      <c r="R99" s="227"/>
      <c r="S99" s="227"/>
      <c r="T99" s="226"/>
      <c r="U99" s="233" t="s">
        <v>287</v>
      </c>
      <c r="V99" s="226">
        <v>15</v>
      </c>
      <c r="W99" s="227"/>
      <c r="X99" s="228"/>
    </row>
    <row r="100" spans="3:24" s="120" customFormat="1" ht="23.25" customHeight="1">
      <c r="C100" s="236" t="s">
        <v>290</v>
      </c>
      <c r="D100" s="251">
        <f>IF(P100=0,0,(Kertoimet_materiaali!Q$27+P100)/Kertoimet_materiaali!Q$27)</f>
        <v>1.8</v>
      </c>
      <c r="E100" s="226"/>
      <c r="F100" s="227"/>
      <c r="G100" s="227"/>
      <c r="H100" s="226"/>
      <c r="I100" s="227"/>
      <c r="J100" s="227"/>
      <c r="K100" s="227"/>
      <c r="L100" s="228"/>
      <c r="O100" s="236" t="s">
        <v>290</v>
      </c>
      <c r="P100" s="226">
        <v>40</v>
      </c>
      <c r="Q100" s="226"/>
      <c r="R100" s="227"/>
      <c r="S100" s="227"/>
      <c r="T100" s="226"/>
      <c r="U100" s="227"/>
      <c r="V100" s="227"/>
      <c r="W100" s="227"/>
      <c r="X100" s="228"/>
    </row>
    <row r="101" spans="3:24" s="120" customFormat="1" ht="22.5" customHeight="1">
      <c r="C101" s="237" t="s">
        <v>291</v>
      </c>
      <c r="D101" s="256">
        <f>IF(P101=0,0,(Kertoimet_materiaali!Q$28+P101)/Kertoimet_materiaali!Q$28)</f>
        <v>3</v>
      </c>
      <c r="E101" s="238"/>
      <c r="F101" s="238"/>
      <c r="G101" s="238"/>
      <c r="H101" s="238"/>
      <c r="I101" s="239"/>
      <c r="J101" s="239"/>
      <c r="K101" s="239"/>
      <c r="L101" s="240"/>
      <c r="O101" s="237" t="s">
        <v>291</v>
      </c>
      <c r="P101" s="319">
        <v>20</v>
      </c>
      <c r="Q101" s="238"/>
      <c r="R101" s="238"/>
      <c r="S101" s="238"/>
      <c r="T101" s="238"/>
      <c r="U101" s="239"/>
      <c r="V101" s="239"/>
      <c r="W101" s="239"/>
      <c r="X101" s="240"/>
    </row>
    <row r="102" spans="4:24" s="120" customFormat="1" ht="16.5" customHeight="1">
      <c r="D102" s="139"/>
      <c r="E102" s="139"/>
      <c r="F102" s="139"/>
      <c r="G102" s="139"/>
      <c r="H102" s="122"/>
      <c r="I102" s="122"/>
      <c r="J102" s="122"/>
      <c r="K102" s="122"/>
      <c r="L102" s="122"/>
      <c r="P102" s="139"/>
      <c r="Q102" s="139"/>
      <c r="R102" s="139"/>
      <c r="S102" s="139"/>
      <c r="T102" s="122"/>
      <c r="U102" s="122"/>
      <c r="V102" s="122"/>
      <c r="W102" s="122"/>
      <c r="X102" s="122"/>
    </row>
    <row r="103" spans="1:21" s="120" customFormat="1" ht="12.75">
      <c r="A103" s="14"/>
      <c r="B103" s="243" t="s">
        <v>266</v>
      </c>
      <c r="E103" s="139"/>
      <c r="F103" s="139"/>
      <c r="G103" s="122"/>
      <c r="H103" s="122"/>
      <c r="I103" s="122"/>
      <c r="N103" s="243" t="s">
        <v>266</v>
      </c>
      <c r="Q103" s="139"/>
      <c r="R103" s="139"/>
      <c r="S103" s="122"/>
      <c r="T103" s="122"/>
      <c r="U103" s="122"/>
    </row>
    <row r="104" spans="2:24" s="120" customFormat="1" ht="12.75">
      <c r="B104" s="18" t="s">
        <v>65</v>
      </c>
      <c r="D104" s="242"/>
      <c r="E104" s="241"/>
      <c r="F104" s="241"/>
      <c r="G104" s="226"/>
      <c r="H104" s="226"/>
      <c r="I104" s="226"/>
      <c r="J104" s="227"/>
      <c r="K104" s="227"/>
      <c r="L104" s="227"/>
      <c r="N104" s="18" t="s">
        <v>65</v>
      </c>
      <c r="P104" s="242"/>
      <c r="Q104" s="241"/>
      <c r="R104" s="241"/>
      <c r="S104" s="226"/>
      <c r="T104" s="226"/>
      <c r="U104" s="226"/>
      <c r="V104" s="227"/>
      <c r="W104" s="227"/>
      <c r="X104" s="227"/>
    </row>
    <row r="105" spans="3:24" s="120" customFormat="1" ht="13.5" customHeight="1">
      <c r="C105" s="244" t="s">
        <v>330</v>
      </c>
      <c r="D105" s="245"/>
      <c r="E105" s="245" t="s">
        <v>331</v>
      </c>
      <c r="F105" s="245"/>
      <c r="G105" s="245" t="s">
        <v>329</v>
      </c>
      <c r="H105" s="246"/>
      <c r="I105" s="246"/>
      <c r="J105" s="245" t="s">
        <v>332</v>
      </c>
      <c r="K105" s="245" t="s">
        <v>333</v>
      </c>
      <c r="L105" s="225"/>
      <c r="O105" s="244" t="s">
        <v>330</v>
      </c>
      <c r="P105" s="245"/>
      <c r="Q105" s="245" t="s">
        <v>331</v>
      </c>
      <c r="R105" s="245"/>
      <c r="S105" s="245" t="s">
        <v>329</v>
      </c>
      <c r="T105" s="246"/>
      <c r="U105" s="246"/>
      <c r="V105" s="245" t="s">
        <v>332</v>
      </c>
      <c r="W105" s="245" t="s">
        <v>333</v>
      </c>
      <c r="X105" s="225"/>
    </row>
    <row r="106" spans="3:24" s="120" customFormat="1" ht="33" customHeight="1">
      <c r="C106" s="229" t="s">
        <v>268</v>
      </c>
      <c r="D106" s="226"/>
      <c r="E106" s="231" t="s">
        <v>271</v>
      </c>
      <c r="F106" s="226"/>
      <c r="G106" s="231" t="s">
        <v>282</v>
      </c>
      <c r="H106" s="226"/>
      <c r="I106" s="231" t="s">
        <v>269</v>
      </c>
      <c r="J106" s="226"/>
      <c r="K106" s="231" t="s">
        <v>110</v>
      </c>
      <c r="L106" s="228"/>
      <c r="O106" s="229" t="s">
        <v>268</v>
      </c>
      <c r="P106" s="226"/>
      <c r="Q106" s="231" t="s">
        <v>271</v>
      </c>
      <c r="R106" s="226"/>
      <c r="S106" s="231" t="s">
        <v>282</v>
      </c>
      <c r="T106" s="226"/>
      <c r="U106" s="231" t="s">
        <v>269</v>
      </c>
      <c r="V106" s="226"/>
      <c r="W106" s="231" t="s">
        <v>110</v>
      </c>
      <c r="X106" s="228"/>
    </row>
    <row r="107" spans="3:24" s="120" customFormat="1" ht="36.75" customHeight="1">
      <c r="C107" s="229" t="s">
        <v>271</v>
      </c>
      <c r="D107" s="226"/>
      <c r="E107" s="231" t="s">
        <v>112</v>
      </c>
      <c r="F107" s="226"/>
      <c r="G107" s="231" t="s">
        <v>292</v>
      </c>
      <c r="H107" s="226"/>
      <c r="I107" s="231" t="s">
        <v>165</v>
      </c>
      <c r="J107" s="226"/>
      <c r="K107" s="231" t="s">
        <v>273</v>
      </c>
      <c r="L107" s="228"/>
      <c r="O107" s="229" t="s">
        <v>271</v>
      </c>
      <c r="P107" s="226"/>
      <c r="Q107" s="231" t="s">
        <v>112</v>
      </c>
      <c r="R107" s="226"/>
      <c r="S107" s="231" t="s">
        <v>292</v>
      </c>
      <c r="T107" s="226"/>
      <c r="U107" s="231" t="s">
        <v>165</v>
      </c>
      <c r="V107" s="226"/>
      <c r="W107" s="231" t="s">
        <v>273</v>
      </c>
      <c r="X107" s="228"/>
    </row>
    <row r="108" spans="3:24" s="120" customFormat="1" ht="30" customHeight="1">
      <c r="C108" s="229" t="s">
        <v>112</v>
      </c>
      <c r="D108" s="226"/>
      <c r="E108" s="231" t="s">
        <v>113</v>
      </c>
      <c r="F108" s="226"/>
      <c r="G108" s="233" t="s">
        <v>288</v>
      </c>
      <c r="H108" s="251">
        <f>IF(T108=0,0,(Kertoimet_materiaali!S$21+T108)/Kertoimet_materiaali!S$21)</f>
        <v>1.7777777777777777</v>
      </c>
      <c r="I108" s="231" t="s">
        <v>166</v>
      </c>
      <c r="J108" s="226"/>
      <c r="K108" s="231" t="s">
        <v>112</v>
      </c>
      <c r="L108" s="228"/>
      <c r="O108" s="229" t="s">
        <v>112</v>
      </c>
      <c r="P108" s="226"/>
      <c r="Q108" s="231" t="s">
        <v>113</v>
      </c>
      <c r="R108" s="226"/>
      <c r="S108" s="233" t="s">
        <v>288</v>
      </c>
      <c r="T108" s="226">
        <v>35</v>
      </c>
      <c r="U108" s="231" t="s">
        <v>166</v>
      </c>
      <c r="V108" s="226"/>
      <c r="W108" s="231" t="s">
        <v>112</v>
      </c>
      <c r="X108" s="228"/>
    </row>
    <row r="109" spans="3:24" s="120" customFormat="1" ht="33" customHeight="1">
      <c r="C109" s="229" t="s">
        <v>113</v>
      </c>
      <c r="D109" s="226"/>
      <c r="E109" s="231" t="s">
        <v>272</v>
      </c>
      <c r="F109" s="226"/>
      <c r="G109" s="226"/>
      <c r="H109" s="226"/>
      <c r="I109" s="231" t="s">
        <v>112</v>
      </c>
      <c r="J109" s="226"/>
      <c r="K109" s="231" t="s">
        <v>113</v>
      </c>
      <c r="L109" s="228"/>
      <c r="O109" s="229" t="s">
        <v>113</v>
      </c>
      <c r="P109" s="226"/>
      <c r="Q109" s="231" t="s">
        <v>272</v>
      </c>
      <c r="R109" s="226"/>
      <c r="S109" s="226"/>
      <c r="T109" s="226"/>
      <c r="U109" s="231" t="s">
        <v>112</v>
      </c>
      <c r="V109" s="226"/>
      <c r="W109" s="231" t="s">
        <v>113</v>
      </c>
      <c r="X109" s="228"/>
    </row>
    <row r="110" spans="3:24" s="120" customFormat="1" ht="40.5" customHeight="1">
      <c r="C110" s="229" t="s">
        <v>272</v>
      </c>
      <c r="D110" s="226"/>
      <c r="E110" s="233" t="s">
        <v>288</v>
      </c>
      <c r="F110" s="254">
        <f>IF(R110=0,0,(Kertoimet_materiaali!R$23+R110)/Kertoimet_materiaali!R$23)</f>
        <v>0</v>
      </c>
      <c r="G110" s="226"/>
      <c r="H110" s="226"/>
      <c r="I110" s="231" t="s">
        <v>113</v>
      </c>
      <c r="J110" s="226"/>
      <c r="K110" s="231" t="s">
        <v>114</v>
      </c>
      <c r="L110" s="228"/>
      <c r="O110" s="229" t="s">
        <v>272</v>
      </c>
      <c r="P110" s="226"/>
      <c r="Q110" s="233" t="s">
        <v>288</v>
      </c>
      <c r="R110" s="226"/>
      <c r="S110" s="226"/>
      <c r="T110" s="226"/>
      <c r="U110" s="231" t="s">
        <v>113</v>
      </c>
      <c r="V110" s="226"/>
      <c r="W110" s="231" t="s">
        <v>114</v>
      </c>
      <c r="X110" s="228"/>
    </row>
    <row r="111" spans="3:24" s="120" customFormat="1" ht="44.25" customHeight="1">
      <c r="C111" s="229" t="s">
        <v>95</v>
      </c>
      <c r="D111" s="226"/>
      <c r="E111" s="233" t="s">
        <v>289</v>
      </c>
      <c r="F111" s="251">
        <f>IF(R111=0,0,(Kertoimet_materiaali!R$24+R111)/Kertoimet_materiaali!R$24)</f>
        <v>1.6666666666666667</v>
      </c>
      <c r="G111" s="226"/>
      <c r="H111" s="226"/>
      <c r="I111" s="233" t="s">
        <v>285</v>
      </c>
      <c r="J111" s="251">
        <f>IF(V111=0,0,(Kertoimet_materiaali!T$24+V111)/Kertoimet_materiaali!T$24)</f>
        <v>1.5</v>
      </c>
      <c r="K111" s="233" t="s">
        <v>283</v>
      </c>
      <c r="L111" s="255">
        <f>IF(X111=0,0,(Kertoimet_materiaali!U$24+X111)/Kertoimet_materiaali!U$24)</f>
        <v>0</v>
      </c>
      <c r="O111" s="229" t="s">
        <v>95</v>
      </c>
      <c r="P111" s="226"/>
      <c r="Q111" s="233" t="s">
        <v>289</v>
      </c>
      <c r="R111" s="226">
        <v>30</v>
      </c>
      <c r="S111" s="226"/>
      <c r="T111" s="226"/>
      <c r="U111" s="233" t="s">
        <v>285</v>
      </c>
      <c r="V111" s="226">
        <v>15</v>
      </c>
      <c r="W111" s="233" t="s">
        <v>283</v>
      </c>
      <c r="X111" s="235"/>
    </row>
    <row r="112" spans="3:24" s="120" customFormat="1" ht="36.75" customHeight="1">
      <c r="C112" s="236" t="s">
        <v>288</v>
      </c>
      <c r="D112" s="254">
        <f>IF(P112=0,0,(Kertoimet_materiaali!Q$25+P112)/Kertoimet_materiaali!Q$25)</f>
        <v>0</v>
      </c>
      <c r="E112" s="233" t="s">
        <v>290</v>
      </c>
      <c r="F112" s="251">
        <f>IF(R112=0,0,(Kertoimet_materiaali!R$25+R112)/Kertoimet_materiaali!R$25)</f>
        <v>1.7</v>
      </c>
      <c r="G112" s="226"/>
      <c r="H112" s="227"/>
      <c r="I112" s="233" t="s">
        <v>286</v>
      </c>
      <c r="J112" s="254">
        <f>IF(V112=0,0,(Kertoimet_materiaali!T$25+V112)/Kertoimet_materiaali!T$25)</f>
        <v>0</v>
      </c>
      <c r="K112" s="233" t="s">
        <v>284</v>
      </c>
      <c r="L112" s="252">
        <f>IF(X112=0,0,(Kertoimet_materiaali!U$25+X112)/Kertoimet_materiaali!U$25)</f>
        <v>2</v>
      </c>
      <c r="O112" s="236" t="s">
        <v>288</v>
      </c>
      <c r="P112" s="226"/>
      <c r="Q112" s="233" t="s">
        <v>290</v>
      </c>
      <c r="R112" s="226">
        <v>35</v>
      </c>
      <c r="S112" s="226"/>
      <c r="T112" s="227"/>
      <c r="U112" s="233" t="s">
        <v>286</v>
      </c>
      <c r="V112" s="226"/>
      <c r="W112" s="233" t="s">
        <v>284</v>
      </c>
      <c r="X112" s="235">
        <v>30</v>
      </c>
    </row>
    <row r="113" spans="3:24" s="120" customFormat="1" ht="25.5" customHeight="1">
      <c r="C113" s="236" t="s">
        <v>289</v>
      </c>
      <c r="D113" s="251">
        <f>IF(P113=0,0,(Kertoimet_materiaali!Q$26+P113)/Kertoimet_materiaali!Q$26)</f>
        <v>1.6666666666666667</v>
      </c>
      <c r="E113" s="226"/>
      <c r="F113" s="227"/>
      <c r="G113" s="227"/>
      <c r="H113" s="226"/>
      <c r="I113" s="233" t="s">
        <v>287</v>
      </c>
      <c r="J113" s="254">
        <f>IF(V113=0,0,(Kertoimet_materiaali!T$26+V113)/Kertoimet_materiaali!T$26)</f>
        <v>0</v>
      </c>
      <c r="K113" s="227"/>
      <c r="L113" s="228"/>
      <c r="O113" s="236" t="s">
        <v>289</v>
      </c>
      <c r="P113" s="226">
        <v>30</v>
      </c>
      <c r="Q113" s="226"/>
      <c r="R113" s="227"/>
      <c r="S113" s="227"/>
      <c r="T113" s="226"/>
      <c r="U113" s="233" t="s">
        <v>287</v>
      </c>
      <c r="V113" s="226"/>
      <c r="W113" s="227"/>
      <c r="X113" s="228"/>
    </row>
    <row r="114" spans="3:24" s="120" customFormat="1" ht="23.25" customHeight="1">
      <c r="C114" s="236" t="s">
        <v>290</v>
      </c>
      <c r="D114" s="251">
        <f>IF(P114=0,0,(Kertoimet_materiaali!Q$27+P114)/Kertoimet_materiaali!Q$27)</f>
        <v>1.7</v>
      </c>
      <c r="E114" s="226"/>
      <c r="F114" s="227"/>
      <c r="G114" s="227"/>
      <c r="H114" s="226"/>
      <c r="I114" s="227"/>
      <c r="J114" s="227"/>
      <c r="K114" s="227"/>
      <c r="L114" s="228"/>
      <c r="O114" s="236" t="s">
        <v>290</v>
      </c>
      <c r="P114" s="226">
        <v>35</v>
      </c>
      <c r="Q114" s="226"/>
      <c r="R114" s="227"/>
      <c r="S114" s="227"/>
      <c r="T114" s="226"/>
      <c r="U114" s="227"/>
      <c r="V114" s="227"/>
      <c r="W114" s="227"/>
      <c r="X114" s="228"/>
    </row>
    <row r="115" spans="3:24" s="120" customFormat="1" ht="22.5" customHeight="1">
      <c r="C115" s="237" t="s">
        <v>291</v>
      </c>
      <c r="D115" s="256">
        <f>IF(P115=0,0,(Kertoimet_materiaali!Q$28+P115)/Kertoimet_materiaali!Q$28)</f>
        <v>0</v>
      </c>
      <c r="E115" s="238"/>
      <c r="F115" s="238"/>
      <c r="G115" s="238"/>
      <c r="H115" s="238"/>
      <c r="I115" s="239"/>
      <c r="J115" s="239"/>
      <c r="K115" s="239"/>
      <c r="L115" s="240"/>
      <c r="O115" s="237" t="s">
        <v>291</v>
      </c>
      <c r="P115" s="238"/>
      <c r="Q115" s="238"/>
      <c r="R115" s="238"/>
      <c r="S115" s="238"/>
      <c r="T115" s="238"/>
      <c r="U115" s="239"/>
      <c r="V115" s="239"/>
      <c r="W115" s="239"/>
      <c r="X115" s="240"/>
    </row>
    <row r="116" spans="3:20" s="142" customFormat="1" ht="16.5" customHeight="1">
      <c r="C116" s="181"/>
      <c r="D116" s="130"/>
      <c r="E116" s="130"/>
      <c r="F116" s="130"/>
      <c r="G116" s="130"/>
      <c r="H116" s="130"/>
      <c r="O116" s="181"/>
      <c r="P116" s="130"/>
      <c r="Q116" s="130"/>
      <c r="R116" s="130"/>
      <c r="S116" s="130"/>
      <c r="T116" s="130"/>
    </row>
    <row r="117" spans="1:21" s="120" customFormat="1" ht="12.75">
      <c r="A117" s="14"/>
      <c r="B117" s="18" t="s">
        <v>267</v>
      </c>
      <c r="E117" s="139"/>
      <c r="F117" s="139"/>
      <c r="G117" s="122"/>
      <c r="H117" s="122"/>
      <c r="I117" s="122"/>
      <c r="N117" s="18" t="s">
        <v>267</v>
      </c>
      <c r="Q117" s="139"/>
      <c r="R117" s="139"/>
      <c r="S117" s="122"/>
      <c r="T117" s="122"/>
      <c r="U117" s="122"/>
    </row>
    <row r="118" spans="2:24" s="120" customFormat="1" ht="12.75">
      <c r="B118" s="243" t="s">
        <v>40</v>
      </c>
      <c r="D118" s="242"/>
      <c r="E118" s="241"/>
      <c r="F118" s="241"/>
      <c r="G118" s="226"/>
      <c r="H118" s="226"/>
      <c r="I118" s="226"/>
      <c r="J118" s="227"/>
      <c r="K118" s="227"/>
      <c r="L118" s="227"/>
      <c r="N118" s="243" t="s">
        <v>40</v>
      </c>
      <c r="P118" s="242"/>
      <c r="Q118" s="241"/>
      <c r="R118" s="241"/>
      <c r="S118" s="226"/>
      <c r="T118" s="226"/>
      <c r="U118" s="226"/>
      <c r="V118" s="227"/>
      <c r="W118" s="227"/>
      <c r="X118" s="227"/>
    </row>
    <row r="119" spans="3:24" s="120" customFormat="1" ht="13.5" customHeight="1">
      <c r="C119" s="244" t="s">
        <v>330</v>
      </c>
      <c r="D119" s="245"/>
      <c r="E119" s="245" t="s">
        <v>331</v>
      </c>
      <c r="F119" s="245"/>
      <c r="G119" s="245" t="s">
        <v>329</v>
      </c>
      <c r="H119" s="246"/>
      <c r="I119" s="245" t="s">
        <v>332</v>
      </c>
      <c r="K119" s="245" t="s">
        <v>333</v>
      </c>
      <c r="L119" s="225"/>
      <c r="O119" s="244" t="s">
        <v>330</v>
      </c>
      <c r="P119" s="245"/>
      <c r="Q119" s="245" t="s">
        <v>331</v>
      </c>
      <c r="R119" s="245"/>
      <c r="S119" s="245" t="s">
        <v>329</v>
      </c>
      <c r="T119" s="246"/>
      <c r="U119" s="246"/>
      <c r="V119" s="245" t="s">
        <v>332</v>
      </c>
      <c r="W119" s="245" t="s">
        <v>333</v>
      </c>
      <c r="X119" s="225"/>
    </row>
    <row r="120" spans="3:24" s="120" customFormat="1" ht="33" customHeight="1">
      <c r="C120" s="229" t="s">
        <v>268</v>
      </c>
      <c r="D120" s="226"/>
      <c r="E120" s="230" t="s">
        <v>271</v>
      </c>
      <c r="F120" s="226"/>
      <c r="G120" s="230" t="s">
        <v>282</v>
      </c>
      <c r="H120" s="226"/>
      <c r="I120" s="231" t="s">
        <v>269</v>
      </c>
      <c r="J120" s="226"/>
      <c r="K120" s="231" t="s">
        <v>110</v>
      </c>
      <c r="L120" s="228"/>
      <c r="O120" s="229" t="s">
        <v>268</v>
      </c>
      <c r="P120" s="226"/>
      <c r="Q120" s="230" t="s">
        <v>271</v>
      </c>
      <c r="R120" s="226"/>
      <c r="S120" s="230" t="s">
        <v>282</v>
      </c>
      <c r="T120" s="226"/>
      <c r="U120" s="231" t="s">
        <v>269</v>
      </c>
      <c r="V120" s="226"/>
      <c r="W120" s="231" t="s">
        <v>110</v>
      </c>
      <c r="X120" s="228"/>
    </row>
    <row r="121" spans="3:24" s="120" customFormat="1" ht="40.5" customHeight="1">
      <c r="C121" s="232" t="s">
        <v>271</v>
      </c>
      <c r="D121" s="226"/>
      <c r="E121" s="231" t="s">
        <v>112</v>
      </c>
      <c r="F121" s="226"/>
      <c r="G121" s="231" t="s">
        <v>292</v>
      </c>
      <c r="H121" s="226"/>
      <c r="I121" s="231" t="s">
        <v>165</v>
      </c>
      <c r="J121" s="226"/>
      <c r="K121" s="230" t="s">
        <v>273</v>
      </c>
      <c r="L121" s="228"/>
      <c r="O121" s="232" t="s">
        <v>271</v>
      </c>
      <c r="P121" s="226"/>
      <c r="Q121" s="231" t="s">
        <v>112</v>
      </c>
      <c r="R121" s="226"/>
      <c r="S121" s="231" t="s">
        <v>292</v>
      </c>
      <c r="T121" s="226"/>
      <c r="U121" s="231" t="s">
        <v>165</v>
      </c>
      <c r="V121" s="226"/>
      <c r="W121" s="230" t="s">
        <v>273</v>
      </c>
      <c r="X121" s="228"/>
    </row>
    <row r="122" spans="3:24" s="120" customFormat="1" ht="37.5" customHeight="1">
      <c r="C122" s="229" t="s">
        <v>112</v>
      </c>
      <c r="D122" s="226"/>
      <c r="E122" s="231" t="s">
        <v>113</v>
      </c>
      <c r="F122" s="226"/>
      <c r="G122" s="233" t="s">
        <v>288</v>
      </c>
      <c r="H122" s="251">
        <f>IF(T122=0,0,(Kertoimet_materiaali!S$21+T80+T122)/Kertoimet_materiaali!S$21)</f>
        <v>2.888888888888889</v>
      </c>
      <c r="I122" s="231" t="s">
        <v>166</v>
      </c>
      <c r="J122" s="226"/>
      <c r="K122" s="231" t="s">
        <v>112</v>
      </c>
      <c r="L122" s="228"/>
      <c r="O122" s="229" t="s">
        <v>112</v>
      </c>
      <c r="P122" s="226"/>
      <c r="Q122" s="231" t="s">
        <v>113</v>
      </c>
      <c r="R122" s="226"/>
      <c r="S122" s="233" t="s">
        <v>288</v>
      </c>
      <c r="T122" s="226">
        <v>40</v>
      </c>
      <c r="U122" s="231" t="s">
        <v>166</v>
      </c>
      <c r="V122" s="226"/>
      <c r="W122" s="231" t="s">
        <v>112</v>
      </c>
      <c r="X122" s="228"/>
    </row>
    <row r="123" spans="3:24" s="120" customFormat="1" ht="33" customHeight="1">
      <c r="C123" s="229" t="s">
        <v>113</v>
      </c>
      <c r="D123" s="226"/>
      <c r="E123" s="230" t="s">
        <v>272</v>
      </c>
      <c r="F123" s="226"/>
      <c r="G123" s="226"/>
      <c r="H123" s="226"/>
      <c r="I123" s="231" t="s">
        <v>112</v>
      </c>
      <c r="J123" s="226"/>
      <c r="K123" s="230" t="s">
        <v>113</v>
      </c>
      <c r="L123" s="228"/>
      <c r="O123" s="229" t="s">
        <v>113</v>
      </c>
      <c r="P123" s="226"/>
      <c r="Q123" s="230" t="s">
        <v>272</v>
      </c>
      <c r="R123" s="226"/>
      <c r="S123" s="226"/>
      <c r="T123" s="226"/>
      <c r="U123" s="231" t="s">
        <v>112</v>
      </c>
      <c r="V123" s="226"/>
      <c r="W123" s="230" t="s">
        <v>113</v>
      </c>
      <c r="X123" s="228"/>
    </row>
    <row r="124" spans="3:24" s="120" customFormat="1" ht="38.25" customHeight="1">
      <c r="C124" s="232" t="s">
        <v>272</v>
      </c>
      <c r="D124" s="226"/>
      <c r="E124" s="233" t="s">
        <v>288</v>
      </c>
      <c r="F124" s="251">
        <f>IF(R124=0,0,(Kertoimet_materiaali!R$23+R82+R124)/Kertoimet_materiaali!R$23)</f>
        <v>2.5</v>
      </c>
      <c r="G124" s="226"/>
      <c r="H124" s="226"/>
      <c r="I124" s="231" t="s">
        <v>113</v>
      </c>
      <c r="J124" s="226"/>
      <c r="K124" s="231" t="s">
        <v>114</v>
      </c>
      <c r="L124" s="228"/>
      <c r="O124" s="232" t="s">
        <v>272</v>
      </c>
      <c r="P124" s="226"/>
      <c r="Q124" s="233" t="s">
        <v>288</v>
      </c>
      <c r="R124" s="226">
        <v>25</v>
      </c>
      <c r="S124" s="226"/>
      <c r="T124" s="226"/>
      <c r="U124" s="231" t="s">
        <v>113</v>
      </c>
      <c r="V124" s="226"/>
      <c r="W124" s="231" t="s">
        <v>114</v>
      </c>
      <c r="X124" s="228"/>
    </row>
    <row r="125" spans="3:24" s="120" customFormat="1" ht="44.25" customHeight="1">
      <c r="C125" s="234" t="s">
        <v>95</v>
      </c>
      <c r="D125" s="226"/>
      <c r="E125" s="233" t="s">
        <v>289</v>
      </c>
      <c r="F125" s="251">
        <f>IF(R125=0,0,(Kertoimet_materiaali!R$24+R83+R125)/Kertoimet_materiaali!R$24)</f>
        <v>2.6666666666666665</v>
      </c>
      <c r="G125" s="226"/>
      <c r="H125" s="226"/>
      <c r="I125" s="233" t="s">
        <v>285</v>
      </c>
      <c r="J125" s="251">
        <f>IF(V125=0,0,(Kertoimet_materiaali!T$24+V83+V125)/Kertoimet_materiaali!T$24)</f>
        <v>2.5</v>
      </c>
      <c r="K125" s="233" t="s">
        <v>283</v>
      </c>
      <c r="L125" s="252">
        <f>IF(X125=0,0,(Kertoimet_materiaali!U$24+X83+X125)/Kertoimet_materiaali!U$24)</f>
        <v>4.5</v>
      </c>
      <c r="O125" s="234" t="s">
        <v>95</v>
      </c>
      <c r="P125" s="226"/>
      <c r="Q125" s="233" t="s">
        <v>289</v>
      </c>
      <c r="R125" s="226">
        <v>35</v>
      </c>
      <c r="S125" s="226"/>
      <c r="T125" s="226"/>
      <c r="U125" s="233" t="s">
        <v>285</v>
      </c>
      <c r="V125" s="226">
        <v>20</v>
      </c>
      <c r="W125" s="233" t="s">
        <v>283</v>
      </c>
      <c r="X125" s="235">
        <v>60</v>
      </c>
    </row>
    <row r="126" spans="3:24" s="120" customFormat="1" ht="36.75" customHeight="1">
      <c r="C126" s="236" t="s">
        <v>288</v>
      </c>
      <c r="D126" s="251">
        <f>IF(P126=0,0,(Kertoimet_materiaali!Q$25+P84+P126)/Kertoimet_materiaali!Q$25)</f>
        <v>2.5</v>
      </c>
      <c r="E126" s="233" t="s">
        <v>290</v>
      </c>
      <c r="F126" s="251">
        <f>IF(R126=0,0,(Kertoimet_materiaali!R$25+R84+R126)/Kertoimet_materiaali!R$25)</f>
        <v>2.7</v>
      </c>
      <c r="G126" s="226"/>
      <c r="H126" s="227"/>
      <c r="I126" s="233" t="s">
        <v>286</v>
      </c>
      <c r="J126" s="251">
        <f>IF(V126=0,0,(Kertoimet_materiaali!T$25+V84+V126)/Kertoimet_materiaali!T$25)</f>
        <v>2.5</v>
      </c>
      <c r="K126" s="233" t="s">
        <v>284</v>
      </c>
      <c r="L126" s="252">
        <f>IF(X126=0,0,(Kertoimet_materiaali!U$25+X84+X126)/Kertoimet_materiaali!U$25)</f>
        <v>4.5</v>
      </c>
      <c r="O126" s="236" t="s">
        <v>288</v>
      </c>
      <c r="P126" s="226">
        <v>25</v>
      </c>
      <c r="Q126" s="233" t="s">
        <v>290</v>
      </c>
      <c r="R126" s="226">
        <v>40</v>
      </c>
      <c r="S126" s="226"/>
      <c r="T126" s="227"/>
      <c r="U126" s="233" t="s">
        <v>286</v>
      </c>
      <c r="V126" s="226">
        <v>20</v>
      </c>
      <c r="W126" s="233" t="s">
        <v>284</v>
      </c>
      <c r="X126" s="235">
        <v>60</v>
      </c>
    </row>
    <row r="127" spans="3:24" s="120" customFormat="1" ht="25.5" customHeight="1">
      <c r="C127" s="236" t="s">
        <v>289</v>
      </c>
      <c r="D127" s="251">
        <f>IF(P127=0,0,(Kertoimet_materiaali!Q$26+P85+P127)/Kertoimet_materiaali!Q$26)</f>
        <v>2.6666666666666665</v>
      </c>
      <c r="E127" s="226"/>
      <c r="F127" s="227"/>
      <c r="G127" s="227"/>
      <c r="H127" s="226"/>
      <c r="I127" s="233" t="s">
        <v>287</v>
      </c>
      <c r="J127" s="251">
        <f>IF(V127=0,0,(Kertoimet_materiaali!T$26+V85+V127)/Kertoimet_materiaali!T$26)</f>
        <v>2.4</v>
      </c>
      <c r="K127" s="227"/>
      <c r="L127" s="228"/>
      <c r="O127" s="236" t="s">
        <v>289</v>
      </c>
      <c r="P127" s="226">
        <v>35</v>
      </c>
      <c r="Q127" s="226"/>
      <c r="R127" s="227"/>
      <c r="S127" s="227"/>
      <c r="T127" s="226"/>
      <c r="U127" s="233" t="s">
        <v>287</v>
      </c>
      <c r="V127" s="226">
        <v>15</v>
      </c>
      <c r="W127" s="227"/>
      <c r="X127" s="228"/>
    </row>
    <row r="128" spans="3:24" s="120" customFormat="1" ht="23.25" customHeight="1">
      <c r="C128" s="236" t="s">
        <v>290</v>
      </c>
      <c r="D128" s="251">
        <f>IF(P128=0,0,(Kertoimet_materiaali!Q$27+P86+P128)/Kertoimet_materiaali!Q$27)</f>
        <v>2.7</v>
      </c>
      <c r="E128" s="226"/>
      <c r="F128" s="227"/>
      <c r="G128" s="227"/>
      <c r="H128" s="226"/>
      <c r="I128" s="227"/>
      <c r="J128" s="227"/>
      <c r="K128" s="227"/>
      <c r="L128" s="228"/>
      <c r="O128" s="236" t="s">
        <v>290</v>
      </c>
      <c r="P128" s="226">
        <v>40</v>
      </c>
      <c r="Q128" s="226"/>
      <c r="R128" s="227"/>
      <c r="S128" s="227"/>
      <c r="T128" s="226"/>
      <c r="U128" s="227"/>
      <c r="V128" s="227"/>
      <c r="W128" s="227"/>
      <c r="X128" s="228"/>
    </row>
    <row r="129" spans="3:24" s="120" customFormat="1" ht="22.5" customHeight="1">
      <c r="C129" s="237" t="s">
        <v>291</v>
      </c>
      <c r="D129" s="253">
        <f>IF(P129=0,0,(Kertoimet_materiaali!Q$28+P87+P129)/Kertoimet_materiaali!Q$28)</f>
        <v>3.5</v>
      </c>
      <c r="E129" s="238"/>
      <c r="F129" s="238"/>
      <c r="G129" s="238"/>
      <c r="H129" s="238"/>
      <c r="I129" s="239"/>
      <c r="J129" s="239"/>
      <c r="K129" s="239"/>
      <c r="L129" s="240"/>
      <c r="O129" s="237" t="s">
        <v>291</v>
      </c>
      <c r="P129" s="238">
        <v>10</v>
      </c>
      <c r="Q129" s="238"/>
      <c r="R129" s="238"/>
      <c r="S129" s="238"/>
      <c r="T129" s="238"/>
      <c r="U129" s="239"/>
      <c r="V129" s="239"/>
      <c r="W129" s="239"/>
      <c r="X129" s="240"/>
    </row>
    <row r="131" spans="1:21" s="120" customFormat="1" ht="12.75">
      <c r="A131" s="14"/>
      <c r="B131" s="18" t="s">
        <v>267</v>
      </c>
      <c r="E131" s="139"/>
      <c r="F131" s="139"/>
      <c r="G131" s="122"/>
      <c r="H131" s="122"/>
      <c r="I131" s="122"/>
      <c r="N131" s="18" t="s">
        <v>267</v>
      </c>
      <c r="Q131" s="139"/>
      <c r="R131" s="139"/>
      <c r="S131" s="122"/>
      <c r="T131" s="122"/>
      <c r="U131" s="122"/>
    </row>
    <row r="132" spans="2:24" s="120" customFormat="1" ht="12.75">
      <c r="B132" s="243" t="s">
        <v>41</v>
      </c>
      <c r="D132" s="242"/>
      <c r="E132" s="241"/>
      <c r="F132" s="241"/>
      <c r="G132" s="226"/>
      <c r="H132" s="226"/>
      <c r="I132" s="226"/>
      <c r="J132" s="227"/>
      <c r="K132" s="227"/>
      <c r="L132" s="227"/>
      <c r="N132" s="243" t="s">
        <v>41</v>
      </c>
      <c r="P132" s="242"/>
      <c r="Q132" s="241"/>
      <c r="R132" s="241"/>
      <c r="S132" s="226"/>
      <c r="T132" s="226"/>
      <c r="U132" s="226"/>
      <c r="V132" s="227"/>
      <c r="W132" s="227"/>
      <c r="X132" s="227"/>
    </row>
    <row r="133" spans="3:24" s="120" customFormat="1" ht="13.5" customHeight="1">
      <c r="C133" s="244" t="s">
        <v>330</v>
      </c>
      <c r="D133" s="245"/>
      <c r="E133" s="245" t="s">
        <v>331</v>
      </c>
      <c r="F133" s="245"/>
      <c r="G133" s="245" t="s">
        <v>329</v>
      </c>
      <c r="H133" s="246"/>
      <c r="I133" s="246"/>
      <c r="J133" s="245" t="s">
        <v>332</v>
      </c>
      <c r="K133" s="245" t="s">
        <v>333</v>
      </c>
      <c r="L133" s="225"/>
      <c r="O133" s="244" t="s">
        <v>330</v>
      </c>
      <c r="P133" s="245"/>
      <c r="Q133" s="245" t="s">
        <v>331</v>
      </c>
      <c r="R133" s="245"/>
      <c r="S133" s="245" t="s">
        <v>329</v>
      </c>
      <c r="T133" s="246"/>
      <c r="U133" s="246"/>
      <c r="V133" s="245" t="s">
        <v>332</v>
      </c>
      <c r="W133" s="245" t="s">
        <v>333</v>
      </c>
      <c r="X133" s="225"/>
    </row>
    <row r="134" spans="3:24" s="120" customFormat="1" ht="33" customHeight="1">
      <c r="C134" s="229" t="s">
        <v>268</v>
      </c>
      <c r="D134" s="226"/>
      <c r="E134" s="230" t="s">
        <v>271</v>
      </c>
      <c r="F134" s="226"/>
      <c r="G134" s="230" t="s">
        <v>282</v>
      </c>
      <c r="H134" s="226"/>
      <c r="I134" s="231" t="s">
        <v>269</v>
      </c>
      <c r="J134" s="226"/>
      <c r="K134" s="231" t="s">
        <v>110</v>
      </c>
      <c r="L134" s="228"/>
      <c r="O134" s="229" t="s">
        <v>268</v>
      </c>
      <c r="P134" s="226"/>
      <c r="Q134" s="230" t="s">
        <v>271</v>
      </c>
      <c r="R134" s="226"/>
      <c r="S134" s="230" t="s">
        <v>282</v>
      </c>
      <c r="T134" s="226"/>
      <c r="U134" s="231" t="s">
        <v>269</v>
      </c>
      <c r="V134" s="226"/>
      <c r="W134" s="231" t="s">
        <v>110</v>
      </c>
      <c r="X134" s="228"/>
    </row>
    <row r="135" spans="3:24" s="120" customFormat="1" ht="42" customHeight="1">
      <c r="C135" s="232" t="s">
        <v>271</v>
      </c>
      <c r="D135" s="226"/>
      <c r="E135" s="231" t="s">
        <v>112</v>
      </c>
      <c r="F135" s="226"/>
      <c r="G135" s="231" t="s">
        <v>292</v>
      </c>
      <c r="H135" s="226"/>
      <c r="I135" s="231" t="s">
        <v>165</v>
      </c>
      <c r="J135" s="226"/>
      <c r="K135" s="230" t="s">
        <v>273</v>
      </c>
      <c r="L135" s="228"/>
      <c r="O135" s="232" t="s">
        <v>271</v>
      </c>
      <c r="P135" s="226"/>
      <c r="Q135" s="231" t="s">
        <v>112</v>
      </c>
      <c r="R135" s="226"/>
      <c r="S135" s="231" t="s">
        <v>292</v>
      </c>
      <c r="T135" s="226"/>
      <c r="U135" s="231" t="s">
        <v>165</v>
      </c>
      <c r="V135" s="226"/>
      <c r="W135" s="230" t="s">
        <v>273</v>
      </c>
      <c r="X135" s="228"/>
    </row>
    <row r="136" spans="3:24" s="120" customFormat="1" ht="28.5" customHeight="1">
      <c r="C136" s="229" t="s">
        <v>112</v>
      </c>
      <c r="D136" s="226"/>
      <c r="E136" s="231" t="s">
        <v>113</v>
      </c>
      <c r="F136" s="226"/>
      <c r="G136" s="233" t="s">
        <v>288</v>
      </c>
      <c r="H136" s="251">
        <f>IF(T136=0,0,(Kertoimet_materiaali!S$21+T94+T136)/Kertoimet_materiaali!S$21)</f>
        <v>2.7777777777777777</v>
      </c>
      <c r="I136" s="231" t="s">
        <v>166</v>
      </c>
      <c r="J136" s="226"/>
      <c r="K136" s="231" t="s">
        <v>112</v>
      </c>
      <c r="L136" s="228"/>
      <c r="O136" s="229" t="s">
        <v>112</v>
      </c>
      <c r="P136" s="226"/>
      <c r="Q136" s="231" t="s">
        <v>113</v>
      </c>
      <c r="R136" s="226"/>
      <c r="S136" s="233" t="s">
        <v>288</v>
      </c>
      <c r="T136" s="226">
        <v>35</v>
      </c>
      <c r="U136" s="231" t="s">
        <v>166</v>
      </c>
      <c r="V136" s="226"/>
      <c r="W136" s="231" t="s">
        <v>112</v>
      </c>
      <c r="X136" s="228"/>
    </row>
    <row r="137" spans="3:24" s="120" customFormat="1" ht="33" customHeight="1">
      <c r="C137" s="229" t="s">
        <v>113</v>
      </c>
      <c r="D137" s="226"/>
      <c r="E137" s="230" t="s">
        <v>272</v>
      </c>
      <c r="F137" s="226"/>
      <c r="G137" s="226"/>
      <c r="H137" s="226"/>
      <c r="I137" s="231" t="s">
        <v>112</v>
      </c>
      <c r="J137" s="226"/>
      <c r="K137" s="230" t="s">
        <v>113</v>
      </c>
      <c r="L137" s="228"/>
      <c r="O137" s="229" t="s">
        <v>113</v>
      </c>
      <c r="P137" s="226"/>
      <c r="Q137" s="230" t="s">
        <v>272</v>
      </c>
      <c r="R137" s="226"/>
      <c r="S137" s="226"/>
      <c r="T137" s="226"/>
      <c r="U137" s="231" t="s">
        <v>112</v>
      </c>
      <c r="V137" s="226"/>
      <c r="W137" s="230" t="s">
        <v>113</v>
      </c>
      <c r="X137" s="228"/>
    </row>
    <row r="138" spans="3:24" s="120" customFormat="1" ht="38.25" customHeight="1">
      <c r="C138" s="232" t="s">
        <v>272</v>
      </c>
      <c r="D138" s="226"/>
      <c r="E138" s="233" t="s">
        <v>288</v>
      </c>
      <c r="F138" s="251">
        <f>IF(R138=0,0,(Kertoimet_materiaali!R$23+R96+R138)/Kertoimet_materiaali!R$23)</f>
        <v>2.375</v>
      </c>
      <c r="G138" s="226"/>
      <c r="H138" s="226"/>
      <c r="I138" s="231" t="s">
        <v>113</v>
      </c>
      <c r="J138" s="226"/>
      <c r="K138" s="231" t="s">
        <v>114</v>
      </c>
      <c r="L138" s="228"/>
      <c r="O138" s="232" t="s">
        <v>272</v>
      </c>
      <c r="P138" s="226"/>
      <c r="Q138" s="233" t="s">
        <v>288</v>
      </c>
      <c r="R138" s="226">
        <v>25</v>
      </c>
      <c r="S138" s="226"/>
      <c r="T138" s="226"/>
      <c r="U138" s="231" t="s">
        <v>113</v>
      </c>
      <c r="V138" s="226"/>
      <c r="W138" s="231" t="s">
        <v>114</v>
      </c>
      <c r="X138" s="228"/>
    </row>
    <row r="139" spans="3:24" s="120" customFormat="1" ht="44.25" customHeight="1">
      <c r="C139" s="234" t="s">
        <v>95</v>
      </c>
      <c r="D139" s="226"/>
      <c r="E139" s="233" t="s">
        <v>289</v>
      </c>
      <c r="F139" s="251">
        <f>IF(R139=0,0,(Kertoimet_materiaali!R$24+R97+R139)/Kertoimet_materiaali!R$24)</f>
        <v>2.4444444444444446</v>
      </c>
      <c r="G139" s="226"/>
      <c r="H139" s="226"/>
      <c r="I139" s="233" t="s">
        <v>285</v>
      </c>
      <c r="J139" s="251">
        <f>IF(V139=0,0,(Kertoimet_materiaali!T$24+V97+V139)/Kertoimet_materiaali!T$24)</f>
        <v>2.1666666666666665</v>
      </c>
      <c r="K139" s="233" t="s">
        <v>283</v>
      </c>
      <c r="L139" s="255">
        <f>IF(X139=0,0,(Kertoimet_materiaali!U$24+X97+X139)/Kertoimet_materiaali!U$24)</f>
        <v>3.5</v>
      </c>
      <c r="O139" s="234" t="s">
        <v>95</v>
      </c>
      <c r="P139" s="226"/>
      <c r="Q139" s="233" t="s">
        <v>289</v>
      </c>
      <c r="R139" s="226">
        <v>30</v>
      </c>
      <c r="S139" s="226"/>
      <c r="T139" s="226"/>
      <c r="U139" s="233" t="s">
        <v>285</v>
      </c>
      <c r="V139" s="226">
        <v>15</v>
      </c>
      <c r="W139" s="233" t="s">
        <v>283</v>
      </c>
      <c r="X139" s="235">
        <v>45</v>
      </c>
    </row>
    <row r="140" spans="3:24" s="120" customFormat="1" ht="36.75" customHeight="1">
      <c r="C140" s="236" t="s">
        <v>288</v>
      </c>
      <c r="D140" s="251">
        <f>IF(P140=0,0,(Kertoimet_materiaali!Q$25+P98+P140)/Kertoimet_materiaali!Q$25)</f>
        <v>2.375</v>
      </c>
      <c r="E140" s="233" t="s">
        <v>290</v>
      </c>
      <c r="F140" s="251">
        <f>IF(R140=0,0,(Kertoimet_materiaali!R$25+R98+R140)/Kertoimet_materiaali!R$25)</f>
        <v>2.5</v>
      </c>
      <c r="G140" s="226"/>
      <c r="H140" s="227"/>
      <c r="I140" s="233" t="s">
        <v>286</v>
      </c>
      <c r="J140" s="251">
        <f>IF(V140=0,0,(Kertoimet_materiaali!T$25+V98+V140)/Kertoimet_materiaali!T$25)</f>
        <v>2.1666666666666665</v>
      </c>
      <c r="K140" s="233" t="s">
        <v>284</v>
      </c>
      <c r="L140" s="252">
        <f>IF(X140=0,0,(Kertoimet_materiaali!U$25+X98+X140)/Kertoimet_materiaali!U$25)</f>
        <v>3.8333333333333335</v>
      </c>
      <c r="O140" s="236" t="s">
        <v>288</v>
      </c>
      <c r="P140" s="226">
        <v>25</v>
      </c>
      <c r="Q140" s="233" t="s">
        <v>290</v>
      </c>
      <c r="R140" s="226">
        <v>35</v>
      </c>
      <c r="S140" s="226"/>
      <c r="T140" s="227"/>
      <c r="U140" s="233" t="s">
        <v>286</v>
      </c>
      <c r="V140" s="226">
        <v>15</v>
      </c>
      <c r="W140" s="233" t="s">
        <v>284</v>
      </c>
      <c r="X140" s="235">
        <v>50</v>
      </c>
    </row>
    <row r="141" spans="3:24" s="120" customFormat="1" ht="25.5" customHeight="1">
      <c r="C141" s="236" t="s">
        <v>289</v>
      </c>
      <c r="D141" s="251">
        <f>IF(P141=0,0,(Kertoimet_materiaali!Q$26+P99+P141)/Kertoimet_materiaali!Q$26)</f>
        <v>2.4444444444444446</v>
      </c>
      <c r="E141" s="226"/>
      <c r="F141" s="227"/>
      <c r="G141" s="227"/>
      <c r="H141" s="226"/>
      <c r="I141" s="233" t="s">
        <v>287</v>
      </c>
      <c r="J141" s="251">
        <f>IF(V141=0,0,(Kertoimet_materiaali!T$26+V99+V141)/Kertoimet_materiaali!T$26)</f>
        <v>2</v>
      </c>
      <c r="K141" s="227"/>
      <c r="L141" s="228"/>
      <c r="O141" s="236" t="s">
        <v>289</v>
      </c>
      <c r="P141" s="226">
        <v>30</v>
      </c>
      <c r="Q141" s="226"/>
      <c r="R141" s="227"/>
      <c r="S141" s="227"/>
      <c r="T141" s="226"/>
      <c r="U141" s="233" t="s">
        <v>287</v>
      </c>
      <c r="V141" s="226">
        <v>10</v>
      </c>
      <c r="W141" s="227"/>
      <c r="X141" s="228"/>
    </row>
    <row r="142" spans="3:24" s="120" customFormat="1" ht="23.25" customHeight="1">
      <c r="C142" s="236" t="s">
        <v>290</v>
      </c>
      <c r="D142" s="251">
        <f>IF(P142=0,0,(Kertoimet_materiaali!Q$27+P100+P142)/Kertoimet_materiaali!Q$27)</f>
        <v>2.5</v>
      </c>
      <c r="E142" s="226"/>
      <c r="F142" s="227"/>
      <c r="G142" s="227"/>
      <c r="H142" s="226"/>
      <c r="I142" s="227"/>
      <c r="J142" s="227"/>
      <c r="K142" s="227"/>
      <c r="L142" s="228"/>
      <c r="O142" s="236" t="s">
        <v>290</v>
      </c>
      <c r="P142" s="226">
        <v>35</v>
      </c>
      <c r="Q142" s="226"/>
      <c r="R142" s="227"/>
      <c r="S142" s="227"/>
      <c r="T142" s="226"/>
      <c r="U142" s="227"/>
      <c r="V142" s="227"/>
      <c r="W142" s="227"/>
      <c r="X142" s="228"/>
    </row>
    <row r="143" spans="3:24" s="120" customFormat="1" ht="22.5" customHeight="1">
      <c r="C143" s="237" t="s">
        <v>291</v>
      </c>
      <c r="D143" s="256">
        <f>IF(P143=0,0,(Kertoimet_materiaali!Q$28+P101+P143)/Kertoimet_materiaali!Q$28)</f>
        <v>0</v>
      </c>
      <c r="E143" s="238"/>
      <c r="F143" s="238"/>
      <c r="G143" s="238"/>
      <c r="H143" s="238"/>
      <c r="I143" s="239"/>
      <c r="J143" s="239"/>
      <c r="K143" s="239"/>
      <c r="L143" s="240"/>
      <c r="O143" s="237" t="s">
        <v>291</v>
      </c>
      <c r="P143" s="238"/>
      <c r="Q143" s="238"/>
      <c r="R143" s="238"/>
      <c r="S143" s="238"/>
      <c r="T143" s="238"/>
      <c r="U143" s="239"/>
      <c r="V143" s="239"/>
      <c r="W143" s="239"/>
      <c r="X143" s="240"/>
    </row>
    <row r="145" spans="1:21" s="120" customFormat="1" ht="12.75">
      <c r="A145" s="14"/>
      <c r="B145" s="18" t="s">
        <v>267</v>
      </c>
      <c r="E145" s="139"/>
      <c r="F145" s="139"/>
      <c r="G145" s="122"/>
      <c r="H145" s="122"/>
      <c r="I145" s="122"/>
      <c r="N145" s="18" t="s">
        <v>267</v>
      </c>
      <c r="Q145" s="139"/>
      <c r="R145" s="139"/>
      <c r="S145" s="122"/>
      <c r="T145" s="122"/>
      <c r="U145" s="122"/>
    </row>
    <row r="146" spans="2:24" s="120" customFormat="1" ht="12.75">
      <c r="B146" s="243" t="s">
        <v>65</v>
      </c>
      <c r="D146" s="242"/>
      <c r="E146" s="241"/>
      <c r="F146" s="241"/>
      <c r="G146" s="226"/>
      <c r="H146" s="226"/>
      <c r="I146" s="226"/>
      <c r="J146" s="227"/>
      <c r="K146" s="227"/>
      <c r="L146" s="227"/>
      <c r="N146" s="243" t="s">
        <v>65</v>
      </c>
      <c r="P146" s="242"/>
      <c r="Q146" s="241"/>
      <c r="R146" s="241"/>
      <c r="S146" s="226"/>
      <c r="T146" s="226"/>
      <c r="U146" s="226"/>
      <c r="V146" s="227"/>
      <c r="W146" s="227"/>
      <c r="X146" s="227"/>
    </row>
    <row r="147" spans="3:24" s="120" customFormat="1" ht="13.5" customHeight="1">
      <c r="C147" s="244" t="s">
        <v>330</v>
      </c>
      <c r="D147" s="245"/>
      <c r="E147" s="245" t="s">
        <v>331</v>
      </c>
      <c r="F147" s="245"/>
      <c r="G147" s="245" t="s">
        <v>329</v>
      </c>
      <c r="H147" s="246"/>
      <c r="I147" s="246"/>
      <c r="J147" s="245" t="s">
        <v>332</v>
      </c>
      <c r="K147" s="245" t="s">
        <v>333</v>
      </c>
      <c r="L147" s="225"/>
      <c r="O147" s="244" t="s">
        <v>330</v>
      </c>
      <c r="P147" s="245"/>
      <c r="Q147" s="245" t="s">
        <v>331</v>
      </c>
      <c r="R147" s="245"/>
      <c r="S147" s="245" t="s">
        <v>329</v>
      </c>
      <c r="T147" s="246"/>
      <c r="U147" s="246"/>
      <c r="V147" s="245" t="s">
        <v>332</v>
      </c>
      <c r="W147" s="245" t="s">
        <v>333</v>
      </c>
      <c r="X147" s="225"/>
    </row>
    <row r="148" spans="3:24" s="120" customFormat="1" ht="33" customHeight="1">
      <c r="C148" s="229" t="s">
        <v>268</v>
      </c>
      <c r="D148" s="226"/>
      <c r="E148" s="230" t="s">
        <v>271</v>
      </c>
      <c r="F148" s="226"/>
      <c r="G148" s="230" t="s">
        <v>282</v>
      </c>
      <c r="H148" s="226"/>
      <c r="I148" s="231" t="s">
        <v>269</v>
      </c>
      <c r="J148" s="226"/>
      <c r="K148" s="231" t="s">
        <v>110</v>
      </c>
      <c r="L148" s="228"/>
      <c r="O148" s="229" t="s">
        <v>268</v>
      </c>
      <c r="P148" s="226"/>
      <c r="Q148" s="230" t="s">
        <v>271</v>
      </c>
      <c r="R148" s="226"/>
      <c r="S148" s="230" t="s">
        <v>282</v>
      </c>
      <c r="T148" s="226"/>
      <c r="U148" s="231" t="s">
        <v>269</v>
      </c>
      <c r="V148" s="226"/>
      <c r="W148" s="231" t="s">
        <v>110</v>
      </c>
      <c r="X148" s="228"/>
    </row>
    <row r="149" spans="3:24" s="120" customFormat="1" ht="39" customHeight="1">
      <c r="C149" s="232" t="s">
        <v>271</v>
      </c>
      <c r="D149" s="226"/>
      <c r="E149" s="231" t="s">
        <v>112</v>
      </c>
      <c r="F149" s="226"/>
      <c r="G149" s="231" t="s">
        <v>292</v>
      </c>
      <c r="H149" s="226"/>
      <c r="I149" s="231" t="s">
        <v>165</v>
      </c>
      <c r="J149" s="226"/>
      <c r="K149" s="230" t="s">
        <v>273</v>
      </c>
      <c r="L149" s="228"/>
      <c r="O149" s="232" t="s">
        <v>271</v>
      </c>
      <c r="P149" s="226"/>
      <c r="Q149" s="231" t="s">
        <v>112</v>
      </c>
      <c r="R149" s="226"/>
      <c r="S149" s="231" t="s">
        <v>292</v>
      </c>
      <c r="T149" s="226"/>
      <c r="U149" s="231" t="s">
        <v>165</v>
      </c>
      <c r="V149" s="226"/>
      <c r="W149" s="230" t="s">
        <v>273</v>
      </c>
      <c r="X149" s="228"/>
    </row>
    <row r="150" spans="3:24" s="120" customFormat="1" ht="39" customHeight="1">
      <c r="C150" s="229" t="s">
        <v>112</v>
      </c>
      <c r="D150" s="226"/>
      <c r="E150" s="231" t="s">
        <v>113</v>
      </c>
      <c r="F150" s="226"/>
      <c r="G150" s="233" t="s">
        <v>288</v>
      </c>
      <c r="H150" s="251">
        <f>IF(T150=0,0,(Kertoimet_materiaali!S$21+T108+T150)/Kertoimet_materiaali!S$21)</f>
        <v>2.4444444444444446</v>
      </c>
      <c r="I150" s="231" t="s">
        <v>166</v>
      </c>
      <c r="J150" s="226"/>
      <c r="K150" s="231" t="s">
        <v>112</v>
      </c>
      <c r="L150" s="228"/>
      <c r="O150" s="229" t="s">
        <v>112</v>
      </c>
      <c r="P150" s="226"/>
      <c r="Q150" s="231" t="s">
        <v>113</v>
      </c>
      <c r="R150" s="226"/>
      <c r="S150" s="233" t="s">
        <v>288</v>
      </c>
      <c r="T150" s="226">
        <v>30</v>
      </c>
      <c r="U150" s="231" t="s">
        <v>166</v>
      </c>
      <c r="V150" s="226"/>
      <c r="W150" s="231" t="s">
        <v>112</v>
      </c>
      <c r="X150" s="228"/>
    </row>
    <row r="151" spans="3:24" s="120" customFormat="1" ht="33" customHeight="1">
      <c r="C151" s="229" t="s">
        <v>113</v>
      </c>
      <c r="D151" s="226"/>
      <c r="E151" s="230" t="s">
        <v>272</v>
      </c>
      <c r="F151" s="226"/>
      <c r="G151" s="226"/>
      <c r="H151" s="226"/>
      <c r="I151" s="231" t="s">
        <v>112</v>
      </c>
      <c r="J151" s="226"/>
      <c r="K151" s="230" t="s">
        <v>113</v>
      </c>
      <c r="L151" s="228"/>
      <c r="O151" s="229" t="s">
        <v>113</v>
      </c>
      <c r="P151" s="226"/>
      <c r="Q151" s="230" t="s">
        <v>272</v>
      </c>
      <c r="R151" s="226"/>
      <c r="S151" s="226"/>
      <c r="T151" s="226"/>
      <c r="U151" s="231" t="s">
        <v>112</v>
      </c>
      <c r="V151" s="226"/>
      <c r="W151" s="230" t="s">
        <v>113</v>
      </c>
      <c r="X151" s="228"/>
    </row>
    <row r="152" spans="3:24" s="120" customFormat="1" ht="39.75" customHeight="1">
      <c r="C152" s="232" t="s">
        <v>272</v>
      </c>
      <c r="D152" s="226"/>
      <c r="E152" s="233" t="s">
        <v>288</v>
      </c>
      <c r="F152" s="251">
        <f>IF(R152=0,0,(Kertoimet_materiaali!R$23+R110+R152)/Kertoimet_materiaali!R$23)</f>
        <v>0</v>
      </c>
      <c r="G152" s="226"/>
      <c r="H152" s="226"/>
      <c r="I152" s="231" t="s">
        <v>113</v>
      </c>
      <c r="J152" s="226"/>
      <c r="K152" s="231" t="s">
        <v>114</v>
      </c>
      <c r="L152" s="228"/>
      <c r="O152" s="232" t="s">
        <v>272</v>
      </c>
      <c r="P152" s="226"/>
      <c r="Q152" s="233" t="s">
        <v>288</v>
      </c>
      <c r="R152" s="226"/>
      <c r="S152" s="226"/>
      <c r="T152" s="226"/>
      <c r="U152" s="231" t="s">
        <v>113</v>
      </c>
      <c r="V152" s="226"/>
      <c r="W152" s="231" t="s">
        <v>114</v>
      </c>
      <c r="X152" s="228"/>
    </row>
    <row r="153" spans="3:24" s="120" customFormat="1" ht="44.25" customHeight="1">
      <c r="C153" s="234" t="s">
        <v>95</v>
      </c>
      <c r="D153" s="226"/>
      <c r="E153" s="233" t="s">
        <v>289</v>
      </c>
      <c r="F153" s="251">
        <f>IF(R153=0,0,(Kertoimet_materiaali!R$24+R111+R153)/Kertoimet_materiaali!R$24)</f>
        <v>2.2222222222222223</v>
      </c>
      <c r="G153" s="226"/>
      <c r="H153" s="226"/>
      <c r="I153" s="233" t="s">
        <v>285</v>
      </c>
      <c r="J153" s="251">
        <f>IF(V153=0,0,(Kertoimet_materiaali!T$24+V111+V153)/Kertoimet_materiaali!T$24)</f>
        <v>1.8333333333333333</v>
      </c>
      <c r="K153" s="233" t="s">
        <v>283</v>
      </c>
      <c r="L153" s="255">
        <f>IF(X153=0,0,(Kertoimet_materiaali!U$24+X111+X153)/Kertoimet_materiaali!U$24)</f>
        <v>0</v>
      </c>
      <c r="O153" s="234" t="s">
        <v>95</v>
      </c>
      <c r="P153" s="226"/>
      <c r="Q153" s="233" t="s">
        <v>289</v>
      </c>
      <c r="R153" s="226">
        <v>25</v>
      </c>
      <c r="S153" s="226"/>
      <c r="T153" s="226"/>
      <c r="U153" s="233" t="s">
        <v>285</v>
      </c>
      <c r="V153" s="226">
        <v>10</v>
      </c>
      <c r="W153" s="233" t="s">
        <v>283</v>
      </c>
      <c r="X153" s="235"/>
    </row>
    <row r="154" spans="3:24" s="120" customFormat="1" ht="36.75" customHeight="1">
      <c r="C154" s="236" t="s">
        <v>288</v>
      </c>
      <c r="D154" s="254">
        <f>IF(P154=0,0,(Kertoimet_materiaali!Q$25+P112+P154)/Kertoimet_materiaali!Q$25)</f>
        <v>0</v>
      </c>
      <c r="E154" s="233" t="s">
        <v>290</v>
      </c>
      <c r="F154" s="251">
        <f>IF(R154=0,0,(Kertoimet_materiaali!R$25+R112+R154)/Kertoimet_materiaali!R$25)</f>
        <v>2.3</v>
      </c>
      <c r="G154" s="226"/>
      <c r="H154" s="227"/>
      <c r="I154" s="233" t="s">
        <v>286</v>
      </c>
      <c r="J154" s="254">
        <f>IF(V154=0,0,(Kertoimet_materiaali!T$25+V112+V154)/Kertoimet_materiaali!T$25)</f>
        <v>0</v>
      </c>
      <c r="K154" s="233" t="s">
        <v>284</v>
      </c>
      <c r="L154" s="252">
        <f>IF(X154=0,0,(Kertoimet_materiaali!U$25+X112+X154)/Kertoimet_materiaali!U$25)</f>
        <v>3.5</v>
      </c>
      <c r="O154" s="236" t="s">
        <v>288</v>
      </c>
      <c r="P154" s="226"/>
      <c r="Q154" s="233" t="s">
        <v>290</v>
      </c>
      <c r="R154" s="226">
        <v>30</v>
      </c>
      <c r="S154" s="226"/>
      <c r="T154" s="227"/>
      <c r="U154" s="233" t="s">
        <v>286</v>
      </c>
      <c r="V154" s="226"/>
      <c r="W154" s="233" t="s">
        <v>284</v>
      </c>
      <c r="X154" s="235">
        <v>45</v>
      </c>
    </row>
    <row r="155" spans="3:24" s="120" customFormat="1" ht="25.5" customHeight="1">
      <c r="C155" s="236" t="s">
        <v>289</v>
      </c>
      <c r="D155" s="251">
        <f>IF(P155=0,0,(Kertoimet_materiaali!Q$26+P113+P155)/Kertoimet_materiaali!Q$26)</f>
        <v>2.2222222222222223</v>
      </c>
      <c r="E155" s="226"/>
      <c r="F155" s="227"/>
      <c r="G155" s="227"/>
      <c r="H155" s="226"/>
      <c r="I155" s="233" t="s">
        <v>287</v>
      </c>
      <c r="J155" s="254">
        <f>IF(V155=0,0,(Kertoimet_materiaali!T$26+V113+V155)/Kertoimet_materiaali!T$26)</f>
        <v>0</v>
      </c>
      <c r="K155" s="227"/>
      <c r="L155" s="228"/>
      <c r="O155" s="236" t="s">
        <v>289</v>
      </c>
      <c r="P155" s="226">
        <v>25</v>
      </c>
      <c r="Q155" s="226"/>
      <c r="R155" s="227"/>
      <c r="S155" s="227"/>
      <c r="T155" s="226"/>
      <c r="U155" s="233" t="s">
        <v>287</v>
      </c>
      <c r="V155" s="226"/>
      <c r="W155" s="227"/>
      <c r="X155" s="228"/>
    </row>
    <row r="156" spans="3:24" s="120" customFormat="1" ht="23.25" customHeight="1">
      <c r="C156" s="236" t="s">
        <v>290</v>
      </c>
      <c r="D156" s="251">
        <f>IF(P156=0,0,(Kertoimet_materiaali!Q$27+P114+P156)/Kertoimet_materiaali!Q$27)</f>
        <v>2.3</v>
      </c>
      <c r="E156" s="226"/>
      <c r="F156" s="227"/>
      <c r="G156" s="227"/>
      <c r="H156" s="226"/>
      <c r="I156" s="227"/>
      <c r="J156" s="227"/>
      <c r="K156" s="227"/>
      <c r="L156" s="228"/>
      <c r="O156" s="236" t="s">
        <v>290</v>
      </c>
      <c r="P156" s="226">
        <v>30</v>
      </c>
      <c r="Q156" s="226"/>
      <c r="R156" s="227"/>
      <c r="S156" s="227"/>
      <c r="T156" s="226"/>
      <c r="U156" s="227"/>
      <c r="V156" s="227"/>
      <c r="W156" s="227"/>
      <c r="X156" s="228"/>
    </row>
    <row r="157" spans="3:24" s="120" customFormat="1" ht="22.5" customHeight="1">
      <c r="C157" s="237" t="s">
        <v>291</v>
      </c>
      <c r="D157" s="256">
        <f>IF(P157=0,0,(Kertoimet_materiaali!Q$28+P115+P157)/Kertoimet_materiaali!Q$28)</f>
        <v>0</v>
      </c>
      <c r="E157" s="238"/>
      <c r="F157" s="238"/>
      <c r="G157" s="238"/>
      <c r="H157" s="238"/>
      <c r="I157" s="239"/>
      <c r="J157" s="239"/>
      <c r="K157" s="239"/>
      <c r="L157" s="240"/>
      <c r="O157" s="237" t="s">
        <v>291</v>
      </c>
      <c r="P157" s="238"/>
      <c r="Q157" s="238"/>
      <c r="R157" s="238"/>
      <c r="S157" s="238"/>
      <c r="T157" s="238"/>
      <c r="U157" s="239"/>
      <c r="V157" s="239"/>
      <c r="W157" s="239"/>
      <c r="X157" s="240"/>
    </row>
    <row r="158" spans="8:14" ht="12.75">
      <c r="H158" s="247"/>
      <c r="I158" s="247"/>
      <c r="J158" s="247"/>
      <c r="K158" s="247"/>
      <c r="L158" s="247"/>
      <c r="M158" s="247"/>
      <c r="N158" s="247"/>
    </row>
    <row r="160" spans="1:4" ht="15.75">
      <c r="A160" s="266" t="s">
        <v>555</v>
      </c>
      <c r="D160" s="267"/>
    </row>
    <row r="161" spans="1:4" ht="18.75">
      <c r="A161" s="267"/>
      <c r="B161" s="267"/>
      <c r="C161" s="282"/>
      <c r="D161" s="282"/>
    </row>
    <row r="162" spans="1:4" ht="34.5">
      <c r="A162" s="267"/>
      <c r="C162" s="294" t="s">
        <v>524</v>
      </c>
      <c r="D162" s="284">
        <v>0.9</v>
      </c>
    </row>
    <row r="163" spans="1:4" ht="15.75">
      <c r="A163" s="267"/>
      <c r="C163" s="295" t="s">
        <v>525</v>
      </c>
      <c r="D163" s="284">
        <v>1</v>
      </c>
    </row>
    <row r="164" spans="1:4" ht="15.75">
      <c r="A164" s="267"/>
      <c r="B164" s="267"/>
      <c r="C164" s="342"/>
      <c r="D164" s="342"/>
    </row>
    <row r="165" spans="1:4" ht="15.75">
      <c r="A165" s="266" t="s">
        <v>556</v>
      </c>
      <c r="B165" s="267"/>
      <c r="C165" s="160"/>
      <c r="D165" s="160"/>
    </row>
    <row r="166" spans="1:4" ht="34.5">
      <c r="A166" s="267"/>
      <c r="C166" s="294" t="s">
        <v>524</v>
      </c>
      <c r="D166" s="284">
        <v>0.9</v>
      </c>
    </row>
    <row r="167" spans="1:4" ht="15.75">
      <c r="A167" s="267"/>
      <c r="C167" s="295" t="s">
        <v>525</v>
      </c>
      <c r="D167" s="284">
        <v>1</v>
      </c>
    </row>
  </sheetData>
  <sheetProtection/>
  <mergeCells count="1">
    <mergeCell ref="C164:D16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W54"/>
  <sheetViews>
    <sheetView zoomScalePageLayoutView="0" workbookViewId="0" topLeftCell="J24">
      <selection activeCell="Q27" sqref="Q27"/>
    </sheetView>
  </sheetViews>
  <sheetFormatPr defaultColWidth="9.140625" defaultRowHeight="12.75"/>
  <cols>
    <col min="1" max="1" width="3.140625" style="31" customWidth="1"/>
    <col min="2" max="2" width="16.00390625" style="31" customWidth="1"/>
    <col min="3" max="3" width="4.8515625" style="31" customWidth="1"/>
    <col min="4" max="4" width="12.28125" style="41" customWidth="1"/>
    <col min="5" max="5" width="14.57421875" style="31" customWidth="1"/>
    <col min="6" max="6" width="36.8515625" style="31" customWidth="1"/>
    <col min="7" max="7" width="3.57421875" style="31" customWidth="1"/>
    <col min="8" max="8" width="12.140625" style="31" customWidth="1"/>
    <col min="9" max="9" width="3.7109375" style="31" customWidth="1"/>
    <col min="10" max="10" width="4.140625" style="31" customWidth="1"/>
    <col min="11" max="11" width="1.8515625" style="31" customWidth="1"/>
    <col min="12" max="12" width="13.421875" style="31" customWidth="1"/>
    <col min="13" max="13" width="5.28125" style="31" customWidth="1"/>
    <col min="14" max="14" width="1.7109375" style="31" customWidth="1"/>
    <col min="15" max="15" width="38.140625" style="31" customWidth="1"/>
    <col min="16" max="16" width="2.57421875" style="31" customWidth="1"/>
    <col min="17" max="17" width="17.140625" style="31" customWidth="1"/>
    <col min="18" max="18" width="5.140625" style="31" customWidth="1"/>
    <col min="19" max="19" width="38.140625" style="31" customWidth="1"/>
    <col min="20" max="20" width="3.421875" style="31" customWidth="1"/>
    <col min="21" max="21" width="17.140625" style="31" customWidth="1"/>
    <col min="22" max="22" width="1.8515625" style="31" customWidth="1"/>
    <col min="23" max="23" width="2.7109375" style="31" customWidth="1"/>
    <col min="24" max="24" width="3.28125" style="31" customWidth="1"/>
    <col min="25" max="16384" width="9.140625" style="31" customWidth="1"/>
  </cols>
  <sheetData>
    <row r="1" spans="1:9" ht="16.5" customHeight="1">
      <c r="A1" s="32"/>
      <c r="B1" s="32"/>
      <c r="C1" s="32"/>
      <c r="D1" s="44"/>
      <c r="E1" s="32"/>
      <c r="F1" s="32"/>
      <c r="G1" s="32"/>
      <c r="H1" s="32"/>
      <c r="I1" s="32"/>
    </row>
    <row r="2" spans="1:9" ht="16.5" customHeight="1">
      <c r="A2" s="32"/>
      <c r="B2" s="32"/>
      <c r="C2" s="32"/>
      <c r="D2" s="44"/>
      <c r="E2" s="32"/>
      <c r="F2" s="32"/>
      <c r="G2" s="32"/>
      <c r="H2" s="32"/>
      <c r="I2" s="32"/>
    </row>
    <row r="3" spans="1:9" ht="27" customHeight="1" thickBot="1">
      <c r="A3" s="32"/>
      <c r="B3" s="32"/>
      <c r="C3" s="32"/>
      <c r="D3" s="44"/>
      <c r="E3" s="32"/>
      <c r="F3" s="32"/>
      <c r="G3" s="32"/>
      <c r="H3" s="32"/>
      <c r="I3" s="32"/>
    </row>
    <row r="4" spans="1:7" ht="27.75" customHeight="1" thickBot="1">
      <c r="A4" s="32"/>
      <c r="B4" s="104" t="s">
        <v>27</v>
      </c>
      <c r="C4" s="323" t="str">
        <f>IF(Varmuustaso=1,"95 %",IF(Varmuustaso=2,"90 %",IF(Varmuustaso=3,"80 %",IF(Varmuustaso=4,"50 %","keskiarvo"))))</f>
        <v>95 %</v>
      </c>
      <c r="D4" s="324"/>
      <c r="E4" s="32"/>
      <c r="F4" s="32"/>
      <c r="G4" s="32"/>
    </row>
    <row r="5" spans="1:12" ht="27.75" customHeight="1" thickBot="1">
      <c r="A5" s="32"/>
      <c r="B5" s="95" t="s">
        <v>28</v>
      </c>
      <c r="C5" s="327" t="s">
        <v>70</v>
      </c>
      <c r="D5" s="327"/>
      <c r="E5" s="328"/>
      <c r="F5" s="33"/>
      <c r="G5" s="32"/>
      <c r="H5" s="34"/>
      <c r="I5" s="32"/>
      <c r="J5" s="32"/>
      <c r="K5" s="32"/>
      <c r="L5" s="32"/>
    </row>
    <row r="6" spans="1:12" ht="36" customHeight="1">
      <c r="A6" s="32"/>
      <c r="B6" s="32"/>
      <c r="C6" s="32"/>
      <c r="D6" s="44"/>
      <c r="E6" s="32"/>
      <c r="F6" s="33"/>
      <c r="G6" s="32"/>
      <c r="H6" s="101"/>
      <c r="I6" s="32"/>
      <c r="J6" s="101"/>
      <c r="K6" s="32"/>
      <c r="L6" s="101"/>
    </row>
    <row r="7" spans="1:12" ht="36" customHeight="1">
      <c r="A7" s="32"/>
      <c r="B7" s="32"/>
      <c r="C7" s="32"/>
      <c r="D7" s="44"/>
      <c r="E7" s="32"/>
      <c r="F7" s="33"/>
      <c r="G7" s="32"/>
      <c r="H7" s="101"/>
      <c r="I7" s="32"/>
      <c r="J7" s="101"/>
      <c r="K7" s="32"/>
      <c r="L7" s="101"/>
    </row>
    <row r="8" spans="1:12" ht="8.25" customHeight="1" thickBot="1">
      <c r="A8" s="32"/>
      <c r="B8" s="32"/>
      <c r="C8" s="32"/>
      <c r="D8" s="44"/>
      <c r="E8" s="32"/>
      <c r="F8" s="33"/>
      <c r="G8" s="32"/>
      <c r="H8" s="45"/>
      <c r="I8" s="32"/>
      <c r="J8" s="45"/>
      <c r="K8" s="32"/>
      <c r="L8" s="45"/>
    </row>
    <row r="9" spans="1:12" ht="21.75" customHeight="1" thickBot="1">
      <c r="A9" s="32"/>
      <c r="B9" s="32"/>
      <c r="C9" s="32"/>
      <c r="D9" s="44"/>
      <c r="E9" s="32"/>
      <c r="F9" s="106" t="s">
        <v>14</v>
      </c>
      <c r="G9" s="32"/>
      <c r="H9" s="46">
        <f>Laskenta!B3</f>
        <v>38.25</v>
      </c>
      <c r="I9" s="40" t="s">
        <v>0</v>
      </c>
      <c r="J9" s="102"/>
      <c r="K9" s="32"/>
      <c r="L9" s="102"/>
    </row>
    <row r="10" spans="1:12" ht="8.25" customHeight="1">
      <c r="A10" s="32"/>
      <c r="B10" s="32"/>
      <c r="C10" s="32"/>
      <c r="D10" s="44"/>
      <c r="E10" s="32"/>
      <c r="F10" s="43"/>
      <c r="G10" s="32"/>
      <c r="H10" s="34"/>
      <c r="I10" s="32"/>
      <c r="J10" s="32"/>
      <c r="K10" s="32"/>
      <c r="L10" s="32"/>
    </row>
    <row r="11" spans="1:12" ht="13.5" customHeight="1" thickBot="1">
      <c r="A11" s="32"/>
      <c r="B11" s="32"/>
      <c r="C11" s="32"/>
      <c r="D11" s="44"/>
      <c r="E11" s="32"/>
      <c r="F11" s="44"/>
      <c r="G11" s="32"/>
      <c r="H11" s="34"/>
      <c r="I11" s="32"/>
      <c r="J11" s="32"/>
      <c r="K11" s="32"/>
      <c r="L11" s="32"/>
    </row>
    <row r="12" spans="1:12" s="52" customFormat="1" ht="21.75" customHeight="1" thickBot="1">
      <c r="A12" s="49"/>
      <c r="B12" s="49"/>
      <c r="C12" s="49"/>
      <c r="D12" s="50" t="s">
        <v>16</v>
      </c>
      <c r="E12" s="49"/>
      <c r="F12" s="60" t="s">
        <v>9</v>
      </c>
      <c r="G12" s="49"/>
      <c r="H12" s="42">
        <f>Tulos!I14</f>
        <v>100</v>
      </c>
      <c r="I12" s="51"/>
      <c r="J12" s="102"/>
      <c r="K12" s="49"/>
      <c r="L12" s="102"/>
    </row>
    <row r="13" spans="1:12" s="52" customFormat="1" ht="7.5" customHeight="1" thickBot="1">
      <c r="A13" s="49"/>
      <c r="B13" s="49"/>
      <c r="C13" s="49"/>
      <c r="D13" s="53"/>
      <c r="E13" s="49"/>
      <c r="F13" s="54"/>
      <c r="G13" s="49"/>
      <c r="H13" s="36"/>
      <c r="I13" s="49"/>
      <c r="J13" s="36"/>
      <c r="K13" s="49"/>
      <c r="L13" s="36"/>
    </row>
    <row r="14" spans="1:12" s="52" customFormat="1" ht="21.75" customHeight="1" thickBot="1">
      <c r="A14" s="49"/>
      <c r="B14" s="49"/>
      <c r="C14" s="49"/>
      <c r="D14" s="50" t="s">
        <v>17</v>
      </c>
      <c r="E14" s="49"/>
      <c r="F14" s="50" t="s">
        <v>20</v>
      </c>
      <c r="G14" s="49"/>
      <c r="H14" s="57">
        <f>Tulos!I16</f>
        <v>0.5</v>
      </c>
      <c r="I14" s="49"/>
      <c r="J14" s="105"/>
      <c r="K14" s="49"/>
      <c r="L14" s="105"/>
    </row>
    <row r="15" spans="1:12" s="52" customFormat="1" ht="7.5" customHeight="1" thickBot="1">
      <c r="A15" s="49"/>
      <c r="B15" s="49"/>
      <c r="C15" s="49"/>
      <c r="D15" s="53"/>
      <c r="E15" s="49"/>
      <c r="F15" s="54"/>
      <c r="G15" s="49"/>
      <c r="H15" s="36"/>
      <c r="I15" s="49"/>
      <c r="J15" s="36"/>
      <c r="K15" s="49"/>
      <c r="L15" s="36"/>
    </row>
    <row r="16" spans="1:12" s="52" customFormat="1" ht="21.75" customHeight="1" thickBot="1">
      <c r="A16" s="49"/>
      <c r="B16" s="49"/>
      <c r="C16" s="49"/>
      <c r="D16" s="50" t="s">
        <v>11</v>
      </c>
      <c r="E16" s="49"/>
      <c r="F16" s="50" t="s">
        <v>21</v>
      </c>
      <c r="G16" s="49"/>
      <c r="H16" s="57">
        <f>Tulos!I18</f>
        <v>0.765</v>
      </c>
      <c r="I16" s="49"/>
      <c r="J16" s="103"/>
      <c r="K16" s="49"/>
      <c r="L16" s="103"/>
    </row>
    <row r="17" spans="1:12" s="52" customFormat="1" ht="7.5" customHeight="1" thickBot="1">
      <c r="A17" s="49"/>
      <c r="B17" s="49"/>
      <c r="C17" s="49"/>
      <c r="D17" s="53"/>
      <c r="E17" s="49"/>
      <c r="F17" s="49"/>
      <c r="G17" s="49"/>
      <c r="H17" s="36"/>
      <c r="I17" s="49"/>
      <c r="J17" s="36"/>
      <c r="K17" s="49"/>
      <c r="L17" s="36"/>
    </row>
    <row r="18" spans="1:12" s="52" customFormat="1" ht="21.75" customHeight="1" thickBot="1">
      <c r="A18" s="49"/>
      <c r="B18" s="49"/>
      <c r="C18" s="49"/>
      <c r="D18" s="50" t="s">
        <v>12</v>
      </c>
      <c r="E18" s="49"/>
      <c r="F18" s="50" t="s">
        <v>22</v>
      </c>
      <c r="G18" s="49"/>
      <c r="H18" s="58">
        <f>Tulos!I20</f>
        <v>1</v>
      </c>
      <c r="I18" s="49"/>
      <c r="J18" s="105"/>
      <c r="K18" s="49"/>
      <c r="L18" s="105"/>
    </row>
    <row r="19" spans="1:12" s="52" customFormat="1" ht="7.5" customHeight="1" thickBot="1">
      <c r="A19" s="49"/>
      <c r="B19" s="49"/>
      <c r="C19" s="49"/>
      <c r="D19" s="53"/>
      <c r="E19" s="49"/>
      <c r="F19" s="49"/>
      <c r="G19" s="49"/>
      <c r="H19" s="36"/>
      <c r="I19" s="49"/>
      <c r="J19" s="36"/>
      <c r="K19" s="49"/>
      <c r="L19" s="36"/>
    </row>
    <row r="20" spans="1:12" s="52" customFormat="1" ht="21.75" customHeight="1" thickBot="1">
      <c r="A20" s="49"/>
      <c r="C20" s="55"/>
      <c r="D20" s="50" t="s">
        <v>15</v>
      </c>
      <c r="E20" s="49"/>
      <c r="F20" s="50" t="s">
        <v>23</v>
      </c>
      <c r="G20" s="49"/>
      <c r="H20" s="57">
        <f>Tulos!I22</f>
        <v>1</v>
      </c>
      <c r="I20" s="49"/>
      <c r="J20" s="103"/>
      <c r="K20" s="49"/>
      <c r="L20" s="103"/>
    </row>
    <row r="21" spans="1:12" s="52" customFormat="1" ht="7.5" customHeight="1" thickBot="1">
      <c r="A21" s="49"/>
      <c r="B21" s="49"/>
      <c r="C21" s="49"/>
      <c r="D21" s="53"/>
      <c r="E21" s="49"/>
      <c r="F21" s="49"/>
      <c r="G21" s="49"/>
      <c r="H21" s="36"/>
      <c r="I21" s="56"/>
      <c r="J21" s="36"/>
      <c r="K21" s="49"/>
      <c r="L21" s="36"/>
    </row>
    <row r="22" spans="1:12" s="52" customFormat="1" ht="21.75" customHeight="1" thickBot="1">
      <c r="A22" s="49"/>
      <c r="C22" s="55"/>
      <c r="D22" s="50" t="s">
        <v>13</v>
      </c>
      <c r="E22" s="49"/>
      <c r="F22" s="50" t="s">
        <v>24</v>
      </c>
      <c r="G22" s="49"/>
      <c r="H22" s="58">
        <f>Tulos!I24</f>
        <v>1</v>
      </c>
      <c r="I22" s="56"/>
      <c r="J22" s="105"/>
      <c r="K22" s="49"/>
      <c r="L22" s="105"/>
    </row>
    <row r="23" spans="1:12" ht="15.75" customHeight="1">
      <c r="A23" s="32"/>
      <c r="B23" s="32"/>
      <c r="C23" s="37"/>
      <c r="D23" s="47"/>
      <c r="E23" s="32"/>
      <c r="F23" s="35"/>
      <c r="G23" s="32"/>
      <c r="H23" s="36"/>
      <c r="I23" s="38"/>
      <c r="J23" s="36"/>
      <c r="L23" s="36"/>
    </row>
    <row r="24" spans="1:12" s="91" customFormat="1" ht="37.5" customHeight="1">
      <c r="A24" s="88"/>
      <c r="B24" s="89"/>
      <c r="C24" s="90"/>
      <c r="D24" s="326" t="s">
        <v>18</v>
      </c>
      <c r="E24" s="326"/>
      <c r="F24" s="326"/>
      <c r="G24" s="88"/>
      <c r="H24" s="88"/>
      <c r="I24" s="88"/>
      <c r="L24" s="92">
        <f ca="1">TODAY()</f>
        <v>41180</v>
      </c>
    </row>
    <row r="25" spans="14:20" ht="9.75" customHeight="1" thickBot="1">
      <c r="N25" s="32"/>
      <c r="S25" s="32"/>
      <c r="T25" s="32"/>
    </row>
    <row r="26" spans="14:22" ht="7.5" customHeight="1" hidden="1">
      <c r="N26" s="32"/>
      <c r="V26" s="32"/>
    </row>
    <row r="27" spans="14:18" ht="18.75" customHeight="1" thickBot="1">
      <c r="N27" s="32"/>
      <c r="O27" s="62" t="s">
        <v>26</v>
      </c>
      <c r="Q27" s="46">
        <f>Laskenta!B3</f>
        <v>38.25</v>
      </c>
      <c r="R27" s="40" t="s">
        <v>0</v>
      </c>
    </row>
    <row r="28" spans="14:22" ht="7.5" customHeight="1" thickBot="1">
      <c r="N28" s="32"/>
      <c r="V28" s="32"/>
    </row>
    <row r="29" spans="14:22" ht="48.75" customHeight="1" thickBot="1">
      <c r="N29" s="32"/>
      <c r="O29" s="66" t="s">
        <v>25</v>
      </c>
      <c r="R29" s="49"/>
      <c r="T29" s="32"/>
      <c r="V29" s="32"/>
    </row>
    <row r="30" spans="14:22" ht="8.25" customHeight="1" thickBot="1">
      <c r="N30" s="32"/>
      <c r="T30" s="32"/>
      <c r="V30" s="32"/>
    </row>
    <row r="31" spans="14:23" ht="18.75" customHeight="1" thickBot="1">
      <c r="N31" s="49"/>
      <c r="O31" s="50" t="s">
        <v>20</v>
      </c>
      <c r="P31" s="32"/>
      <c r="R31" s="32"/>
      <c r="W31" s="52"/>
    </row>
    <row r="32" spans="14:23" ht="7.5" customHeight="1" thickBot="1">
      <c r="N32" s="49"/>
      <c r="P32" s="32"/>
      <c r="Q32" s="44"/>
      <c r="R32" s="32"/>
      <c r="W32" s="52"/>
    </row>
    <row r="33" spans="14:23" ht="18.75" customHeight="1" thickBot="1">
      <c r="N33" s="49"/>
      <c r="O33" s="62" t="s">
        <v>31</v>
      </c>
      <c r="P33" s="49"/>
      <c r="Q33" s="61" t="str">
        <f>IF(Rasitusluokka=1,"C2",IF(Rasitusluokka=2,"C3",IF(Rasitusluokka=3,"C4","C5")))</f>
        <v>C2</v>
      </c>
      <c r="R33" s="49"/>
      <c r="S33" s="50" t="s">
        <v>54</v>
      </c>
      <c r="V33" s="51"/>
      <c r="W33" s="52"/>
    </row>
    <row r="34" spans="14:23" ht="7.5" customHeight="1" thickBot="1">
      <c r="N34" s="49"/>
      <c r="O34" s="49"/>
      <c r="P34" s="49"/>
      <c r="Q34" s="53"/>
      <c r="R34" s="49"/>
      <c r="V34" s="49"/>
      <c r="W34" s="52"/>
    </row>
    <row r="35" spans="14:23" ht="18.75" customHeight="1" thickBot="1">
      <c r="N35" s="49"/>
      <c r="O35" s="62" t="s">
        <v>50</v>
      </c>
      <c r="P35" s="49"/>
      <c r="Q35" s="61" t="e">
        <f>IF(Pinnoitetyyppi=1,"Pural",IF(Pinnoitetyyppi=2,"PVC-Plastisol",IF(Pinnoitetyyppi=3,"PVDF",IF(Pinnoitetyyppi=4,"Polyesteri","Akryyli"))))</f>
        <v>#NAME?</v>
      </c>
      <c r="R35" s="67"/>
      <c r="S35" s="62" t="s">
        <v>60</v>
      </c>
      <c r="T35" s="49"/>
      <c r="U35" s="68" t="str">
        <f>IF(KuljetusVarastointiJS=1,"Ohj. mukaan",IF(KuljetusVarastointiJS=2,"Vähäisiä kolhuja/naarmuja",IF(KuljetusVarastointiJS=3,"Selviä kolhuja/naarmuja","Runsaasti kolhuja/naarmuja")))</f>
        <v>Ohj. mukaan</v>
      </c>
      <c r="V35" s="49"/>
      <c r="W35" s="52"/>
    </row>
    <row r="36" spans="14:23" ht="7.5" customHeight="1" thickBot="1">
      <c r="N36" s="49"/>
      <c r="O36" s="49"/>
      <c r="P36" s="49"/>
      <c r="Q36" s="53"/>
      <c r="R36" s="67"/>
      <c r="T36" s="32"/>
      <c r="V36" s="49"/>
      <c r="W36" s="52"/>
    </row>
    <row r="37" spans="14:23" ht="18.75" customHeight="1" thickBot="1">
      <c r="N37" s="49"/>
      <c r="O37" s="62" t="s">
        <v>49</v>
      </c>
      <c r="P37" s="49"/>
      <c r="Q37" s="63" t="str">
        <f>IF(PinnoiteVari=1,"Musta",IF(PinnoiteVari=2,"Harmaa","Valkoinen"))</f>
        <v>Valkoinen</v>
      </c>
      <c r="R37" s="67"/>
      <c r="S37" s="62" t="s">
        <v>61</v>
      </c>
      <c r="T37" s="49"/>
      <c r="U37" s="68" t="str">
        <f>IF(VarastointiLampoKosteus=1,"Ohj. mukainen","Puutteellinen")</f>
        <v>Ohj. mukainen</v>
      </c>
      <c r="V37" s="49"/>
      <c r="W37" s="52"/>
    </row>
    <row r="38" spans="14:23" ht="7.5" customHeight="1" thickBot="1">
      <c r="N38" s="49"/>
      <c r="O38" s="49"/>
      <c r="P38" s="49"/>
      <c r="Q38" s="53"/>
      <c r="R38" s="67"/>
      <c r="V38" s="49"/>
      <c r="W38" s="52"/>
    </row>
    <row r="39" spans="14:23" ht="16.5" thickBot="1">
      <c r="N39" s="49"/>
      <c r="O39" s="62" t="s">
        <v>51</v>
      </c>
      <c r="P39" s="55"/>
      <c r="Q39" s="61" t="e">
        <f>IF(SinkkiPaksuus=1,20,25)</f>
        <v>#NAME?</v>
      </c>
      <c r="R39" s="67" t="s">
        <v>52</v>
      </c>
      <c r="S39" s="62" t="s">
        <v>62</v>
      </c>
      <c r="T39" s="49"/>
      <c r="U39" s="68" t="str">
        <f>IF(LeikkausmenetelmaJS=1,"Ohj. muk. terä",IF(LeikkausmenetelmaJS=2,"Ohj. muk. laikkaleikkaus","Väärä"))</f>
        <v>Ohj. muk. terä</v>
      </c>
      <c r="V39" s="38"/>
      <c r="W39" s="52"/>
    </row>
    <row r="40" spans="14:23" ht="7.5" customHeight="1" thickBot="1">
      <c r="N40" s="49"/>
      <c r="O40" s="49"/>
      <c r="P40" s="49"/>
      <c r="Q40" s="53"/>
      <c r="R40" s="49"/>
      <c r="T40" s="32"/>
      <c r="U40" s="34"/>
      <c r="W40" s="52"/>
    </row>
    <row r="41" spans="14:23" ht="16.5" thickBot="1">
      <c r="N41" s="49"/>
      <c r="P41" s="55"/>
      <c r="R41" s="67"/>
      <c r="S41" s="65" t="str">
        <f>Laskenta!A137</f>
        <v>Porausjätteiden yms. puhdistus</v>
      </c>
      <c r="U41" s="68" t="str">
        <f>IF(JatteidenPuhdistus=1,"Huolellisesti",IF(JatteidenPuhdistus=2,"Puutteellisesti","Ei suoritettu"))</f>
        <v>Huolellisesti</v>
      </c>
      <c r="V41" s="49"/>
      <c r="W41" s="52"/>
    </row>
    <row r="42" spans="14:22" ht="7.5" customHeight="1" thickBot="1">
      <c r="N42" s="32"/>
      <c r="V42" s="49"/>
    </row>
    <row r="43" spans="14:22" ht="18.75" customHeight="1" thickBot="1">
      <c r="N43" s="32"/>
      <c r="O43" s="50" t="s">
        <v>21</v>
      </c>
      <c r="S43" s="113" t="str">
        <f>Laskenta!A136</f>
        <v>Leikkausreunojen suojaus / käsittely</v>
      </c>
      <c r="U43" s="68" t="str">
        <f>IF(LeikkausreunojenSuojausJS=1,"Ohj. mukaan",IF(LeikkausreunojenSuojausJS=2,"Puutteellinen","Ei suojattu"))</f>
        <v>Ohj. mukaan</v>
      </c>
      <c r="V43" s="56"/>
    </row>
    <row r="44" spans="14:22" ht="7.5" customHeight="1" thickBot="1">
      <c r="N44" s="32"/>
      <c r="V44" s="56"/>
    </row>
    <row r="45" spans="14:22" ht="23.25" thickBot="1">
      <c r="N45" s="32"/>
      <c r="O45" s="111" t="s">
        <v>71</v>
      </c>
      <c r="Q45" s="64" t="e">
        <f>IF(Tuuletusaukot=1,"≥ 30%",IF(Tuuletusaukot=2,"≥ 20%","&lt; 20%"))</f>
        <v>#NAME?</v>
      </c>
      <c r="S45" s="50" t="s">
        <v>56</v>
      </c>
      <c r="T45" s="32"/>
      <c r="U45" s="114"/>
      <c r="V45" s="38"/>
    </row>
    <row r="46" spans="14:22" ht="7.5" customHeight="1" thickBot="1">
      <c r="N46" s="32"/>
      <c r="S46" s="54"/>
      <c r="T46" s="49"/>
      <c r="U46" s="36"/>
      <c r="V46" s="38"/>
    </row>
    <row r="47" spans="14:22" ht="16.5" thickBot="1">
      <c r="N47" s="32"/>
      <c r="O47" s="62" t="s">
        <v>59</v>
      </c>
      <c r="P47" s="37"/>
      <c r="Q47" s="68" t="str">
        <f>IF(Kiinnikkeet=1,"Ohj. mukaiset","Vääränlaiset")</f>
        <v>Ohj. mukaiset</v>
      </c>
      <c r="S47" s="111" t="e">
        <f>Laskenta!#REF!</f>
        <v>#REF!</v>
      </c>
      <c r="T47" s="49"/>
      <c r="U47" s="117" t="e">
        <f>IF(Liikkuminen=1,"Rajoitettu",IF(Liikkuminen=2,"Kevyen liikenteen rasitukset","Ajoneuvojen aiheuttamat vauriot"))</f>
        <v>#NAME?</v>
      </c>
      <c r="V47" s="108"/>
    </row>
    <row r="48" spans="14:22" ht="7.5" customHeight="1" thickBot="1">
      <c r="N48" s="32"/>
      <c r="O48" s="32"/>
      <c r="P48" s="37"/>
      <c r="Q48" s="47"/>
      <c r="R48" s="32"/>
      <c r="S48" s="54"/>
      <c r="T48" s="49"/>
      <c r="U48" s="36"/>
      <c r="V48" s="38"/>
    </row>
    <row r="49" spans="14:22" ht="23.25" thickBot="1">
      <c r="N49" s="32"/>
      <c r="O49" s="111" t="s">
        <v>72</v>
      </c>
      <c r="P49" s="37"/>
      <c r="Q49" s="68" t="str">
        <f>IF(Sadevesi=1,"Oikea","Puutteellinen")</f>
        <v>Puutteellinen</v>
      </c>
      <c r="R49" s="32"/>
      <c r="S49" s="50" t="s">
        <v>24</v>
      </c>
      <c r="T49" s="32"/>
      <c r="U49" s="36"/>
      <c r="V49" s="38"/>
    </row>
    <row r="50" spans="14:22" ht="7.5" customHeight="1" thickBot="1">
      <c r="N50" s="32"/>
      <c r="R50" s="32"/>
      <c r="S50" s="35"/>
      <c r="T50" s="32"/>
      <c r="U50" s="36"/>
      <c r="V50" s="38"/>
    </row>
    <row r="51" spans="14:22" ht="23.25" thickBot="1">
      <c r="N51" s="32"/>
      <c r="O51" s="111" t="s">
        <v>73</v>
      </c>
      <c r="P51" s="37"/>
      <c r="Q51" s="112" t="e">
        <f>IF(Sateilyjaahtyminen=1,"Ohj. mukainen","Puutteellinen")</f>
        <v>#NAME?</v>
      </c>
      <c r="R51" s="32"/>
      <c r="S51" s="62" t="s">
        <v>74</v>
      </c>
      <c r="T51" s="32"/>
      <c r="U51" s="68" t="str">
        <f>IF(HuollonTasoJS=1,"Säännöllisesti",IF(HuollonTasoJS=2,"Epäsäännöllisesti","Ei tarkastuksia"))</f>
        <v>Säännöllisesti</v>
      </c>
      <c r="V51" s="38"/>
    </row>
    <row r="52" spans="14:22" ht="28.5" customHeight="1">
      <c r="N52" s="32"/>
      <c r="P52" s="32"/>
      <c r="Q52" s="44"/>
      <c r="R52" s="32"/>
      <c r="T52" s="32"/>
      <c r="U52" s="36"/>
      <c r="V52" s="32"/>
    </row>
    <row r="53" spans="14:22" ht="25.5" customHeight="1">
      <c r="N53" s="32"/>
      <c r="O53" s="48"/>
      <c r="P53" s="39"/>
      <c r="Q53" s="325" t="s">
        <v>18</v>
      </c>
      <c r="R53" s="325"/>
      <c r="S53" s="325"/>
      <c r="T53" s="32"/>
      <c r="U53" s="116">
        <f ca="1">TODAY()</f>
        <v>41180</v>
      </c>
      <c r="V53" s="32"/>
    </row>
    <row r="54" spans="14:22" ht="16.5" customHeight="1">
      <c r="N54" s="32"/>
      <c r="O54" s="32"/>
      <c r="P54" s="32"/>
      <c r="Q54" s="44"/>
      <c r="R54" s="32"/>
      <c r="S54" s="32"/>
      <c r="T54" s="32"/>
      <c r="U54" s="32"/>
      <c r="V54" s="32"/>
    </row>
  </sheetData>
  <sheetProtection/>
  <mergeCells count="4">
    <mergeCell ref="C4:D4"/>
    <mergeCell ref="C5:E5"/>
    <mergeCell ref="D24:F24"/>
    <mergeCell ref="Q53:S5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Sirje Vares</Manager>
  <Company>VTT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Teräsrakenteiden käyttöiän ennakointi, Versio 3</dc:title>
  <dc:subject>Laskentaohjelma, Ennus-teräs</dc:subject>
  <dc:creator>Sirje Vares, Riikka Holopainen (versio 1)</dc:creator>
  <cp:keywords/>
  <dc:description/>
  <cp:lastModifiedBy>Yrjölä Pekka</cp:lastModifiedBy>
  <cp:lastPrinted>2008-06-24T13:08:26Z</cp:lastPrinted>
  <dcterms:created xsi:type="dcterms:W3CDTF">2000-10-24T09:52:38Z</dcterms:created>
  <dcterms:modified xsi:type="dcterms:W3CDTF">2012-09-28T11:51:27Z</dcterms:modified>
  <cp:category/>
  <cp:version/>
  <cp:contentType/>
  <cp:contentStatus/>
</cp:coreProperties>
</file>